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квітень" sheetId="1" r:id="rId1"/>
    <sheet name="березень" sheetId="2" r:id="rId2"/>
    <sheet name="лютий" sheetId="3" r:id="rId3"/>
    <sheet name="січень 17" sheetId="4" r:id="rId4"/>
  </sheets>
  <definedNames/>
  <calcPr fullCalcOnLoad="1"/>
</workbook>
</file>

<file path=xl/sharedStrings.xml><?xml version="1.0" encoding="utf-8"?>
<sst xmlns="http://schemas.openxmlformats.org/spreadsheetml/2006/main" count="606" uniqueCount="187">
  <si>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</si>
  <si>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</si>
  <si>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</si>
  <si>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</si>
  <si>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</si>
  <si>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</si>
  <si>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</si>
  <si>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</si>
  <si>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</si>
  <si>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</si>
  <si>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</si>
  <si>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</si>
  <si>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</si>
  <si>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</si>
  <si>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</si>
  <si>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</si>
  <si>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</si>
  <si>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</si>
  <si>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</si>
  <si>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</si>
  <si>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</si>
  <si>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</si>
  <si>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</si>
  <si>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</si>
  <si>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</si>
  <si>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</si>
  <si>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</si>
  <si>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</si>
  <si>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</si>
  <si>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</si>
  <si>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</si>
  <si>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</si>
  <si>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</si>
  <si>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</si>
  <si>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</si>
  <si>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</si>
  <si>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</si>
  <si>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</si>
  <si>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</si>
  <si>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</si>
  <si>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</si>
  <si>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</si>
  <si>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</si>
  <si>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</si>
  <si>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</si>
  <si>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</si>
  <si>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</si>
  <si>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</si>
  <si>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</si>
  <si>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</si>
  <si>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</si>
  <si>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</si>
  <si>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</si>
  <si>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</si>
  <si>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</si>
  <si>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</si>
  <si>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</si>
  <si>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</si>
  <si>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</si>
  <si>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</si>
  <si>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</si>
  <si>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</si>
  <si>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</si>
  <si>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</si>
  <si>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</si>
  <si>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</si>
  <si>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</si>
  <si>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</si>
  <si>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</si>
  <si>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</si>
  <si>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</si>
  <si>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</si>
  <si>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</si>
  <si>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</si>
  <si>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</si>
  <si>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</si>
  <si>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</si>
  <si>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</si>
  <si>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</si>
  <si>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</si>
  <si>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</si>
  <si>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</si>
  <si>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</si>
  <si>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</si>
  <si>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</si>
  <si>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</si>
  <si>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</si>
  <si>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</si>
  <si>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</si>
  <si>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</si>
  <si>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</si>
  <si>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</si>
  <si>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</si>
  <si>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</si>
  <si>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</si>
  <si>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</si>
  <si>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</si>
  <si>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</si>
  <si>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</si>
  <si>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</si>
  <si>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</si>
  <si>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</si>
  <si>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Динаміка  фактичних надходжень лютий 2016 та 2015 років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</si>
  <si>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</si>
  <si>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</si>
  <si>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</si>
  <si>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</si>
  <si>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</si>
  <si>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</si>
  <si>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</si>
  <si>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</si>
  <si>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</si>
  <si>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</si>
  <si>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</si>
  <si>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</si>
  <si>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t>Виконано у листопаді</t>
  </si>
  <si>
    <t>податки, що контролюються ДПІ</t>
  </si>
  <si>
    <t>податки, що не контролюються ДПІ</t>
  </si>
  <si>
    <t>ВСЬОГО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</si>
  <si>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</si>
  <si>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30.11.16 </t>
    </r>
    <r>
      <rPr>
        <b/>
        <sz val="10"/>
        <rFont val="Times New Roman"/>
        <family val="1"/>
      </rPr>
      <t>включно</t>
    </r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</si>
  <si>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</si>
  <si>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 на січень-</t>
    </r>
  </si>
  <si>
    <t>Відхилення (+,-) до  плану на січень- 2017 року</t>
  </si>
  <si>
    <t>% виконання  плану на січень- 2017 року</t>
  </si>
  <si>
    <t>Відхилення (+,-) до  плану на 2017 рік</t>
  </si>
  <si>
    <t>% виконання  плану на 2017 рік</t>
  </si>
  <si>
    <t>тис.грн</t>
  </si>
  <si>
    <t>факт 2016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</si>
  <si>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2017 та 2016 років</t>
    </r>
  </si>
  <si>
    <t>Надходження коштів від с\г втрат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</si>
  <si>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01.02.2017</t>
    </r>
    <r>
      <rPr>
        <b/>
        <sz val="16"/>
        <rFont val="Times New Roman"/>
        <family val="1"/>
      </rPr>
      <t>р.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</si>
  <si>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</si>
  <si>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Відхилення (+,-) до  плану на січень-лютий 2017 року</t>
  </si>
  <si>
    <t>% виконання  плану на січень-лютий 2017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</si>
  <si>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2017 та 2016 років</t>
    </r>
  </si>
  <si>
    <t>Виконано у лютому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</si>
  <si>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січень-лютий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</si>
  <si>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2017 рік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</si>
  <si>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</si>
  <si>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28.02.17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</si>
  <si>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</si>
  <si>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t>Від органів державного управління  </t>
  </si>
  <si>
    <t>Субвенції  </t>
  </si>
  <si>
    <t>Інші субвенції </t>
  </si>
  <si>
    <t>Власні надходження бюджетних установ</t>
  </si>
  <si>
    <t>Всього доходи з офіційними трансфертами</t>
  </si>
  <si>
    <r>
      <t xml:space="preserve">Субвенція з державного бюджету місцевим бюджетам на надання пільг та житлових </t>
    </r>
    <r>
      <rPr>
        <b/>
        <sz val="10"/>
        <rFont val="Arial Cyr"/>
        <family val="0"/>
      </rPr>
      <t>субсидій</t>
    </r>
    <r>
      <rPr>
        <sz val="10"/>
        <rFont val="Arial Cyr"/>
        <family val="0"/>
      </rPr>
      <t xml:space="preserve">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  </r>
  </si>
  <si>
    <r>
      <rPr>
        <b/>
        <sz val="10"/>
        <rFont val="Arial Cyr"/>
        <family val="0"/>
      </rPr>
      <t>Освітня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</si>
  <si>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sz val="10"/>
        <rFont val="Arial Cyr"/>
        <family val="0"/>
      </rPr>
      <t>Медична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</si>
  <si>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t>Відхилення (+,-) до  плану на січень-березень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</si>
  <si>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</si>
  <si>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</si>
  <si>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t>зф</t>
  </si>
  <si>
    <t>сф</t>
  </si>
  <si>
    <t>ДПІ</t>
  </si>
  <si>
    <t xml:space="preserve"> +-ДПІ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</si>
  <si>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2017 та 2016 років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</si>
  <si>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</si>
  <si>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</si>
  <si>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</si>
  <si>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>(алкоголь+тютюн)</t>
    </r>
  </si>
  <si>
    <t>березень</t>
  </si>
  <si>
    <t>очікувані</t>
  </si>
  <si>
    <t>січень-березень</t>
  </si>
  <si>
    <t>% виконання  плану на січень-березень 2017 року</t>
  </si>
  <si>
    <r>
      <t>Субвенція з державного бюджету місцевим бюджетам на виплату допомоги</t>
    </r>
    <r>
      <rPr>
        <b/>
        <sz val="10"/>
        <rFont val="Arial Cyr"/>
        <family val="0"/>
      </rPr>
      <t xml:space="preserve"> сім`ям з дітьми</t>
    </r>
    <r>
      <rPr>
        <sz val="10"/>
        <rFont val="Arial Cyr"/>
        <family val="0"/>
      </rPr>
      <t>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  </r>
  </si>
  <si>
    <r>
      <t>Субвенція з державного бюджету місцевим бюджетам на надання пільг та житлових субсидій населенню на придбання</t>
    </r>
    <r>
      <rPr>
        <b/>
        <sz val="10"/>
        <rFont val="Arial Cyr"/>
        <family val="0"/>
      </rPr>
      <t xml:space="preserve"> твердого</t>
    </r>
    <r>
      <rPr>
        <sz val="10"/>
        <rFont val="Arial Cyr"/>
        <family val="0"/>
      </rPr>
      <t xml:space="preserve"> та рідкого пічного побутового палива і скрапленого газу </t>
    </r>
  </si>
  <si>
    <r>
      <t xml:space="preserve">Субвенція з державного бюджету місцевим бюджетам на виплату державної соціальної допомоги на </t>
    </r>
    <r>
      <rPr>
        <b/>
        <sz val="10"/>
        <rFont val="Arial Cyr"/>
        <family val="0"/>
      </rPr>
      <t>дітей-сиріт</t>
    </r>
    <r>
      <rPr>
        <sz val="10"/>
        <rFont val="Arial Cyr"/>
        <family val="0"/>
      </rPr>
      <t xml:space="preserve">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  </r>
  </si>
  <si>
    <r>
      <t xml:space="preserve">Субвенція з державного бюджету місцевим бюджетам на надання державної підтримки особам з </t>
    </r>
    <r>
      <rPr>
        <b/>
        <sz val="10"/>
        <rFont val="Arial Cyr"/>
        <family val="0"/>
      </rPr>
      <t>особливими освітніми потребами</t>
    </r>
  </si>
  <si>
    <t>Всього доходів (без трансфертів)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</si>
  <si>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</si>
  <si>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t>Офіційні трансферти  ЗФ</t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</si>
  <si>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</si>
  <si>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</si>
  <si>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31.03.17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</si>
  <si>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</si>
  <si>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2017 року</t>
  </si>
  <si>
    <t>% виконання  плану на січень-квітень 2017 року</t>
  </si>
  <si>
    <t>Виконано у квітні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</si>
  <si>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</si>
  <si>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2017 та 2016 років</t>
    </r>
  </si>
  <si>
    <t>Очікувані ДПІ+ДФП квітень 2017</t>
  </si>
  <si>
    <t>Очікувані ДПІ+ДФП січень- квітень 2017</t>
  </si>
  <si>
    <t>ЦНАП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</si>
  <si>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24.04.2017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</si>
  <si>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21.04.17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</si>
</sst>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86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sz val="14"/>
      <color indexed="8"/>
      <name val="Calibri"/>
      <family val="2"/>
    </font>
    <font>
      <b/>
      <i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0000FF"/>
      <name val="Times New Roman"/>
      <family val="1"/>
    </font>
    <font>
      <b/>
      <sz val="14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6" fillId="0" borderId="0">
      <alignment/>
      <protection/>
    </xf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62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25" fillId="0" borderId="0">
      <alignment/>
      <protection/>
    </xf>
    <xf numFmtId="0" fontId="7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323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0" xfId="55" applyFont="1" applyProtection="1">
      <alignment/>
      <protection/>
    </xf>
    <xf numFmtId="0" fontId="3" fillId="34" borderId="10" xfId="55" applyFont="1" applyFill="1" applyBorder="1" applyAlignment="1" applyProtection="1">
      <alignment horizontal="center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183" fontId="7" fillId="0" borderId="0" xfId="55" applyNumberFormat="1" applyFont="1" applyProtection="1">
      <alignment/>
      <protection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0" xfId="55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8" fillId="0" borderId="10" xfId="55" applyFont="1" applyBorder="1" applyAlignment="1" applyProtection="1">
      <alignment horizontal="right" vertical="center" wrapText="1"/>
      <protection/>
    </xf>
    <xf numFmtId="0" fontId="7" fillId="0" borderId="0" xfId="55" applyFont="1" applyAlignment="1" applyProtection="1">
      <alignment horizontal="left"/>
      <protection/>
    </xf>
    <xf numFmtId="0" fontId="7" fillId="0" borderId="0" xfId="55" applyFont="1" applyAlignment="1" applyProtection="1">
      <alignment horizontal="left" wrapText="1"/>
      <protection/>
    </xf>
    <xf numFmtId="0" fontId="7" fillId="0" borderId="0" xfId="55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182" fontId="22" fillId="0" borderId="10" xfId="0" applyNumberFormat="1" applyFont="1" applyFill="1" applyBorder="1" applyAlignment="1" applyProtection="1">
      <alignment horizontal="right"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3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4" fillId="34" borderId="10" xfId="0" applyNumberFormat="1" applyFont="1" applyFill="1" applyBorder="1" applyAlignment="1" applyProtection="1">
      <alignment/>
      <protection/>
    </xf>
    <xf numFmtId="1" fontId="24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4" fillId="0" borderId="10" xfId="55" applyFont="1" applyFill="1" applyBorder="1" applyAlignment="1" applyProtection="1">
      <alignment/>
      <protection/>
    </xf>
    <xf numFmtId="0" fontId="10" fillId="34" borderId="10" xfId="55" applyFont="1" applyFill="1" applyBorder="1" applyProtection="1">
      <alignment/>
      <protection/>
    </xf>
    <xf numFmtId="0" fontId="10" fillId="0" borderId="0" xfId="55" applyFont="1" applyProtection="1">
      <alignment/>
      <protection/>
    </xf>
    <xf numFmtId="182" fontId="7" fillId="0" borderId="0" xfId="55" applyNumberFormat="1" applyFont="1" applyFill="1" applyBorder="1" applyProtection="1">
      <alignment/>
      <protection/>
    </xf>
    <xf numFmtId="0" fontId="7" fillId="0" borderId="0" xfId="55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5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5" applyNumberFormat="1" applyFo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7" fillId="0" borderId="0" xfId="0" applyNumberFormat="1" applyFont="1" applyFill="1" applyBorder="1" applyAlignment="1">
      <alignment horizontal="center"/>
    </xf>
    <xf numFmtId="14" fontId="7" fillId="0" borderId="0" xfId="55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12" fillId="0" borderId="0" xfId="55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right"/>
      <protection/>
    </xf>
    <xf numFmtId="191" fontId="7" fillId="0" borderId="0" xfId="55" applyNumberFormat="1" applyFont="1" applyProtection="1">
      <alignment/>
      <protection/>
    </xf>
    <xf numFmtId="0" fontId="6" fillId="0" borderId="0" xfId="55" applyFont="1" applyAlignment="1" applyProtection="1">
      <alignment horizontal="center"/>
      <protection/>
    </xf>
    <xf numFmtId="9" fontId="4" fillId="0" borderId="10" xfId="60" applyFont="1" applyFill="1" applyBorder="1" applyAlignment="1" applyProtection="1">
      <alignment horizontal="center" wrapText="1"/>
      <protection/>
    </xf>
    <xf numFmtId="0" fontId="6" fillId="0" borderId="10" xfId="55" applyFont="1" applyBorder="1" applyAlignment="1" applyProtection="1">
      <alignment horizontal="center"/>
      <protection/>
    </xf>
    <xf numFmtId="191" fontId="15" fillId="0" borderId="10" xfId="55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2" fillId="0" borderId="10" xfId="55" applyFont="1" applyBorder="1" applyAlignment="1" applyProtection="1">
      <alignment vertical="center"/>
      <protection/>
    </xf>
    <xf numFmtId="182" fontId="18" fillId="0" borderId="10" xfId="0" applyNumberFormat="1" applyFont="1" applyFill="1" applyBorder="1" applyAlignment="1" applyProtection="1">
      <alignment horizontal="right"/>
      <protection/>
    </xf>
    <xf numFmtId="182" fontId="18" fillId="0" borderId="10" xfId="0" applyNumberFormat="1" applyFont="1" applyBorder="1" applyAlignment="1" applyProtection="1">
      <alignment/>
      <protection/>
    </xf>
    <xf numFmtId="182" fontId="18" fillId="0" borderId="10" xfId="0" applyNumberFormat="1" applyFont="1" applyFill="1" applyBorder="1" applyAlignment="1" applyProtection="1">
      <alignment horizontal="right"/>
      <protection locked="0"/>
    </xf>
    <xf numFmtId="182" fontId="18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Border="1" applyAlignment="1" applyProtection="1">
      <alignment/>
      <protection/>
    </xf>
    <xf numFmtId="1" fontId="8" fillId="0" borderId="10" xfId="55" applyNumberFormat="1" applyFont="1" applyBorder="1" applyAlignment="1" applyProtection="1">
      <alignment horizontal="center" vertical="center" wrapText="1"/>
      <protection/>
    </xf>
    <xf numFmtId="182" fontId="22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5" applyFont="1" applyBorder="1" applyAlignment="1" applyProtection="1">
      <alignment horizontal="left" vertical="center" wrapText="1"/>
      <protection/>
    </xf>
    <xf numFmtId="4" fontId="7" fillId="0" borderId="0" xfId="55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4" fillId="0" borderId="10" xfId="55" applyFont="1" applyBorder="1" applyAlignment="1" applyProtection="1">
      <alignment vertical="center"/>
      <protection/>
    </xf>
    <xf numFmtId="182" fontId="7" fillId="0" borderId="0" xfId="55" applyNumberFormat="1" applyFont="1" applyBorder="1" applyAlignment="1" applyProtection="1">
      <alignment horizontal="right"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182" fontId="35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5" applyNumberFormat="1" applyFont="1" applyFill="1" applyBorder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8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8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5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79" fillId="0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Border="1" applyAlignment="1" applyProtection="1">
      <alignment/>
      <protection/>
    </xf>
    <xf numFmtId="182" fontId="8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0" fillId="0" borderId="10" xfId="0" applyNumberFormat="1" applyFont="1" applyFill="1" applyBorder="1" applyAlignment="1" applyProtection="1">
      <alignment/>
      <protection/>
    </xf>
    <xf numFmtId="182" fontId="3" fillId="34" borderId="10" xfId="55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4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7" fillId="38" borderId="0" xfId="55" applyNumberFormat="1" applyFont="1" applyFill="1" applyProtection="1">
      <alignment/>
      <protection/>
    </xf>
    <xf numFmtId="182" fontId="7" fillId="38" borderId="0" xfId="55" applyNumberFormat="1" applyFont="1" applyFill="1" applyBorder="1" applyProtection="1">
      <alignment/>
      <protection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0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79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Fill="1" applyBorder="1" applyAlignment="1" applyProtection="1">
      <alignment/>
      <protection/>
    </xf>
    <xf numFmtId="191" fontId="35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4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1" fillId="0" borderId="0" xfId="0" applyFont="1" applyAlignment="1" applyProtection="1">
      <alignment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79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5" applyNumberFormat="1" applyFont="1" applyFill="1" applyProtection="1">
      <alignment/>
      <protection/>
    </xf>
    <xf numFmtId="191" fontId="7" fillId="0" borderId="0" xfId="55" applyNumberFormat="1" applyFont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4" xfId="0" applyFont="1" applyFill="1" applyBorder="1" applyAlignment="1">
      <alignment wrapText="1"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8" fillId="0" borderId="10" xfId="0" applyFont="1" applyBorder="1" applyAlignment="1">
      <alignment wrapText="1"/>
    </xf>
    <xf numFmtId="0" fontId="3" fillId="0" borderId="0" xfId="55" applyFont="1" applyProtection="1">
      <alignment/>
      <protection/>
    </xf>
    <xf numFmtId="191" fontId="3" fillId="0" borderId="0" xfId="55" applyNumberFormat="1" applyFont="1" applyProtection="1">
      <alignment/>
      <protection/>
    </xf>
    <xf numFmtId="182" fontId="39" fillId="0" borderId="10" xfId="0" applyNumberFormat="1" applyFont="1" applyBorder="1" applyAlignment="1">
      <alignment/>
    </xf>
    <xf numFmtId="0" fontId="7" fillId="0" borderId="0" xfId="55" applyFont="1" applyAlignment="1" applyProtection="1">
      <alignment horizontal="right"/>
      <protection/>
    </xf>
    <xf numFmtId="0" fontId="6" fillId="38" borderId="10" xfId="55" applyFont="1" applyFill="1" applyBorder="1" applyAlignment="1" applyProtection="1">
      <alignment wrapText="1"/>
      <protection/>
    </xf>
    <xf numFmtId="182" fontId="2" fillId="0" borderId="0" xfId="55" applyNumberFormat="1" applyFont="1" applyProtection="1">
      <alignment/>
      <protection/>
    </xf>
    <xf numFmtId="182" fontId="81" fillId="0" borderId="0" xfId="0" applyNumberFormat="1" applyFont="1" applyAlignment="1" applyProtection="1">
      <alignment/>
      <protection/>
    </xf>
    <xf numFmtId="182" fontId="10" fillId="0" borderId="0" xfId="0" applyNumberFormat="1" applyFont="1" applyFill="1" applyAlignment="1" applyProtection="1">
      <alignment/>
      <protection/>
    </xf>
    <xf numFmtId="182" fontId="79" fillId="0" borderId="0" xfId="55" applyNumberFormat="1" applyFont="1" applyProtection="1">
      <alignment/>
      <protection/>
    </xf>
    <xf numFmtId="182" fontId="82" fillId="0" borderId="0" xfId="55" applyNumberFormat="1" applyFont="1" applyProtection="1">
      <alignment/>
      <protection/>
    </xf>
    <xf numFmtId="182" fontId="81" fillId="0" borderId="0" xfId="0" applyNumberFormat="1" applyFont="1" applyFill="1" applyAlignment="1" applyProtection="1">
      <alignment/>
      <protection/>
    </xf>
    <xf numFmtId="0" fontId="18" fillId="0" borderId="10" xfId="55" applyFont="1" applyBorder="1" applyAlignment="1" applyProtection="1">
      <alignment horizontal="left" vertical="center" wrapText="1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182" fontId="80" fillId="0" borderId="10" xfId="0" applyNumberFormat="1" applyFont="1" applyFill="1" applyBorder="1" applyAlignment="1" applyProtection="1">
      <alignment/>
      <protection/>
    </xf>
    <xf numFmtId="191" fontId="80" fillId="0" borderId="10" xfId="0" applyNumberFormat="1" applyFont="1" applyFill="1" applyBorder="1" applyAlignment="1" applyProtection="1">
      <alignment/>
      <protection/>
    </xf>
    <xf numFmtId="182" fontId="40" fillId="0" borderId="0" xfId="0" applyNumberFormat="1" applyFont="1" applyAlignment="1" applyProtection="1">
      <alignment/>
      <protection/>
    </xf>
    <xf numFmtId="182" fontId="83" fillId="0" borderId="0" xfId="0" applyNumberFormat="1" applyFont="1" applyAlignment="1" applyProtection="1">
      <alignment/>
      <protection/>
    </xf>
    <xf numFmtId="4" fontId="2" fillId="0" borderId="0" xfId="55" applyNumberFormat="1" applyFont="1" applyProtection="1">
      <alignment/>
      <protection/>
    </xf>
    <xf numFmtId="4" fontId="7" fillId="0" borderId="0" xfId="55" applyNumberFormat="1" applyFont="1" applyFill="1" applyProtection="1">
      <alignment/>
      <protection/>
    </xf>
    <xf numFmtId="4" fontId="82" fillId="0" borderId="0" xfId="55" applyNumberFormat="1" applyFont="1" applyProtection="1">
      <alignment/>
      <protection/>
    </xf>
    <xf numFmtId="4" fontId="40" fillId="0" borderId="0" xfId="0" applyNumberFormat="1" applyFont="1" applyAlignment="1" applyProtection="1">
      <alignment/>
      <protection/>
    </xf>
    <xf numFmtId="4" fontId="10" fillId="0" borderId="0" xfId="0" applyNumberFormat="1" applyFont="1" applyFill="1" applyAlignment="1" applyProtection="1">
      <alignment/>
      <protection/>
    </xf>
    <xf numFmtId="4" fontId="84" fillId="0" borderId="0" xfId="0" applyNumberFormat="1" applyFont="1" applyAlignment="1" applyProtection="1">
      <alignment/>
      <protection/>
    </xf>
    <xf numFmtId="4" fontId="84" fillId="37" borderId="0" xfId="0" applyNumberFormat="1" applyFont="1" applyFill="1" applyAlignment="1" applyProtection="1">
      <alignment/>
      <protection/>
    </xf>
    <xf numFmtId="182" fontId="2" fillId="0" borderId="0" xfId="0" applyNumberFormat="1" applyFont="1" applyFill="1" applyBorder="1" applyAlignment="1" applyProtection="1">
      <alignment horizontal="right"/>
      <protection locked="0"/>
    </xf>
    <xf numFmtId="182" fontId="2" fillId="0" borderId="0" xfId="0" applyNumberFormat="1" applyFont="1" applyFill="1" applyBorder="1" applyAlignment="1" applyProtection="1">
      <alignment/>
      <protection/>
    </xf>
    <xf numFmtId="182" fontId="2" fillId="0" borderId="14" xfId="0" applyNumberFormat="1" applyFont="1" applyFill="1" applyBorder="1" applyAlignment="1" applyProtection="1">
      <alignment/>
      <protection/>
    </xf>
    <xf numFmtId="191" fontId="3" fillId="34" borderId="14" xfId="0" applyNumberFormat="1" applyFont="1" applyFill="1" applyBorder="1" applyAlignment="1" applyProtection="1">
      <alignment/>
      <protection/>
    </xf>
    <xf numFmtId="182" fontId="7" fillId="0" borderId="15" xfId="0" applyNumberFormat="1" applyFont="1" applyFill="1" applyBorder="1" applyAlignment="1" applyProtection="1">
      <alignment/>
      <protection/>
    </xf>
    <xf numFmtId="182" fontId="6" fillId="34" borderId="15" xfId="0" applyNumberFormat="1" applyFont="1" applyFill="1" applyBorder="1" applyAlignment="1" applyProtection="1">
      <alignment/>
      <protection/>
    </xf>
    <xf numFmtId="182" fontId="3" fillId="0" borderId="0" xfId="55" applyNumberFormat="1" applyFont="1" applyFill="1" applyBorder="1" applyProtection="1">
      <alignment/>
      <protection/>
    </xf>
    <xf numFmtId="182" fontId="3" fillId="0" borderId="0" xfId="0" applyNumberFormat="1" applyFont="1" applyFill="1" applyBorder="1" applyAlignment="1" applyProtection="1">
      <alignment/>
      <protection/>
    </xf>
    <xf numFmtId="182" fontId="3" fillId="0" borderId="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Protection="1">
      <alignment/>
      <protection/>
    </xf>
    <xf numFmtId="192" fontId="85" fillId="39" borderId="10" xfId="0" applyNumberFormat="1" applyFont="1" applyFill="1" applyBorder="1" applyAlignment="1">
      <alignment/>
    </xf>
    <xf numFmtId="182" fontId="85" fillId="39" borderId="10" xfId="0" applyNumberFormat="1" applyFont="1" applyFill="1" applyBorder="1" applyAlignment="1">
      <alignment/>
    </xf>
    <xf numFmtId="182" fontId="3" fillId="39" borderId="10" xfId="0" applyNumberFormat="1" applyFont="1" applyFill="1" applyBorder="1" applyAlignment="1" applyProtection="1">
      <alignment horizontal="right"/>
      <protection/>
    </xf>
    <xf numFmtId="182" fontId="3" fillId="39" borderId="10" xfId="0" applyNumberFormat="1" applyFont="1" applyFill="1" applyBorder="1" applyAlignment="1" applyProtection="1">
      <alignment/>
      <protection/>
    </xf>
    <xf numFmtId="182" fontId="6" fillId="34" borderId="14" xfId="0" applyNumberFormat="1" applyFont="1" applyFill="1" applyBorder="1" applyAlignment="1" applyProtection="1">
      <alignment/>
      <protection/>
    </xf>
    <xf numFmtId="182" fontId="7" fillId="0" borderId="14" xfId="0" applyNumberFormat="1" applyFont="1" applyFill="1" applyBorder="1" applyAlignment="1" applyProtection="1">
      <alignment/>
      <protection/>
    </xf>
    <xf numFmtId="182" fontId="6" fillId="0" borderId="14" xfId="0" applyNumberFormat="1" applyFont="1" applyFill="1" applyBorder="1" applyAlignment="1" applyProtection="1">
      <alignment/>
      <protection/>
    </xf>
    <xf numFmtId="182" fontId="17" fillId="37" borderId="10" xfId="0" applyNumberFormat="1" applyFont="1" applyFill="1" applyBorder="1" applyAlignment="1" applyProtection="1">
      <alignment/>
      <protection/>
    </xf>
    <xf numFmtId="0" fontId="82" fillId="38" borderId="0" xfId="55" applyFont="1" applyFill="1" applyAlignment="1" applyProtection="1">
      <alignment horizontal="center"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  <xf numFmtId="182" fontId="4" fillId="0" borderId="17" xfId="55" applyNumberFormat="1" applyFont="1" applyFill="1" applyBorder="1" applyAlignment="1" applyProtection="1">
      <alignment horizontal="center" vertical="center" wrapText="1"/>
      <protection/>
    </xf>
    <xf numFmtId="0" fontId="24" fillId="13" borderId="16" xfId="55" applyFont="1" applyFill="1" applyBorder="1" applyAlignment="1" applyProtection="1">
      <alignment horizontal="center" vertical="center" wrapText="1"/>
      <protection/>
    </xf>
    <xf numFmtId="0" fontId="24" fillId="13" borderId="17" xfId="55" applyFont="1" applyFill="1" applyBorder="1" applyAlignment="1" applyProtection="1">
      <alignment horizontal="center" vertical="center" wrapText="1"/>
      <protection/>
    </xf>
    <xf numFmtId="0" fontId="12" fillId="0" borderId="0" xfId="55" applyFont="1" applyAlignment="1" applyProtection="1">
      <alignment horizontal="center"/>
      <protection/>
    </xf>
    <xf numFmtId="0" fontId="79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7" xfId="0" applyNumberFormat="1" applyFont="1" applyFill="1" applyBorder="1" applyAlignment="1" applyProtection="1">
      <alignment horizontal="center" vertical="center" textRotation="90" wrapText="1"/>
      <protection/>
    </xf>
    <xf numFmtId="49" fontId="20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7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7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4" fillId="0" borderId="19" xfId="55" applyFont="1" applyFill="1" applyBorder="1" applyAlignment="1" applyProtection="1">
      <alignment horizontal="center" vertical="center" wrapText="1"/>
      <protection/>
    </xf>
    <xf numFmtId="0" fontId="24" fillId="0" borderId="20" xfId="55" applyFont="1" applyFill="1" applyBorder="1" applyAlignment="1" applyProtection="1">
      <alignment horizontal="center" vertical="center" wrapText="1"/>
      <protection/>
    </xf>
    <xf numFmtId="0" fontId="24" fillId="0" borderId="21" xfId="55" applyFont="1" applyFill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0" fontId="7" fillId="0" borderId="0" xfId="55" applyFont="1" applyAlignment="1" applyProtection="1">
      <alignment horizontal="right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0" xfId="55" applyFont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0" fontId="24" fillId="0" borderId="14" xfId="55" applyFont="1" applyFill="1" applyBorder="1" applyAlignment="1" applyProtection="1">
      <alignment horizontal="center" vertical="center" wrapText="1"/>
      <protection/>
    </xf>
    <xf numFmtId="0" fontId="24" fillId="0" borderId="18" xfId="55" applyFont="1" applyFill="1" applyBorder="1" applyAlignment="1" applyProtection="1">
      <alignment horizontal="center" vertical="center" wrapText="1"/>
      <protection/>
    </xf>
    <xf numFmtId="0" fontId="24" fillId="0" borderId="10" xfId="55" applyFont="1" applyFill="1" applyBorder="1" applyAlignment="1" applyProtection="1">
      <alignment horizontal="center" vertical="center" wrapText="1"/>
      <protection/>
    </xf>
    <xf numFmtId="0" fontId="7" fillId="0" borderId="0" xfId="55" applyFont="1" applyAlignment="1" applyProtection="1">
      <alignment horizontal="center"/>
      <protection/>
    </xf>
    <xf numFmtId="0" fontId="19" fillId="0" borderId="0" xfId="55" applyFont="1" applyAlignment="1" applyProtection="1">
      <alignment horizontal="center"/>
      <protection/>
    </xf>
    <xf numFmtId="0" fontId="7" fillId="0" borderId="0" xfId="55" applyFont="1" applyBorder="1" applyAlignment="1" applyProtection="1">
      <alignment horizontal="left" wrapText="1"/>
      <protection/>
    </xf>
    <xf numFmtId="0" fontId="7" fillId="0" borderId="0" xfId="55" applyFont="1" applyBorder="1" applyAlignment="1" applyProtection="1">
      <alignment horizontal="right" wrapText="1"/>
      <protection/>
    </xf>
    <xf numFmtId="0" fontId="28" fillId="0" borderId="0" xfId="55" applyFont="1" applyAlignment="1" applyProtection="1">
      <alignment horizontal="center"/>
      <protection/>
    </xf>
    <xf numFmtId="0" fontId="28" fillId="0" borderId="0" xfId="55" applyFont="1" applyBorder="1" applyAlignment="1" applyProtection="1">
      <alignment horizont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124"/>
  <sheetViews>
    <sheetView tabSelected="1" zoomScale="80" zoomScaleNormal="80" zoomScalePageLayoutView="0" workbookViewId="0" topLeftCell="B1">
      <pane xSplit="2" ySplit="8" topLeftCell="D6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7" sqref="D9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8" hidden="1" customWidth="1"/>
    <col min="22" max="16384" width="9.125" style="4" customWidth="1"/>
  </cols>
  <sheetData>
    <row r="1" spans="1:21" s="1" customFormat="1" ht="26.25" customHeight="1">
      <c r="A1" s="287" t="s">
        <v>185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85"/>
      <c r="S1" s="85"/>
      <c r="T1" s="85"/>
      <c r="U1" s="86"/>
    </row>
    <row r="2" spans="2:21" s="1" customFormat="1" ht="15.75" customHeight="1">
      <c r="B2" s="288"/>
      <c r="C2" s="288"/>
      <c r="D2" s="288"/>
      <c r="E2" s="2"/>
      <c r="F2" s="111"/>
      <c r="G2" s="2"/>
      <c r="H2" s="2"/>
      <c r="M2" s="1" t="s">
        <v>24</v>
      </c>
      <c r="Q2" s="17" t="s">
        <v>24</v>
      </c>
      <c r="R2" s="17"/>
      <c r="S2" s="17"/>
      <c r="T2" s="17"/>
      <c r="U2" s="87"/>
    </row>
    <row r="3" spans="1:21" s="3" customFormat="1" ht="13.5" customHeight="1">
      <c r="A3" s="289"/>
      <c r="B3" s="291"/>
      <c r="C3" s="292" t="s">
        <v>0</v>
      </c>
      <c r="D3" s="293" t="s">
        <v>138</v>
      </c>
      <c r="E3" s="31"/>
      <c r="F3" s="294" t="s">
        <v>26</v>
      </c>
      <c r="G3" s="295"/>
      <c r="H3" s="295"/>
      <c r="I3" s="295"/>
      <c r="J3" s="296"/>
      <c r="K3" s="82"/>
      <c r="L3" s="82"/>
      <c r="M3" s="82"/>
      <c r="N3" s="297" t="s">
        <v>180</v>
      </c>
      <c r="O3" s="300" t="s">
        <v>179</v>
      </c>
      <c r="P3" s="300"/>
      <c r="Q3" s="300"/>
      <c r="R3" s="300"/>
      <c r="S3" s="300"/>
      <c r="T3" s="300"/>
      <c r="U3" s="300"/>
    </row>
    <row r="4" spans="1:21" ht="22.5" customHeight="1">
      <c r="A4" s="289"/>
      <c r="B4" s="291"/>
      <c r="C4" s="292"/>
      <c r="D4" s="293"/>
      <c r="E4" s="283" t="s">
        <v>176</v>
      </c>
      <c r="F4" s="309" t="s">
        <v>33</v>
      </c>
      <c r="G4" s="301" t="s">
        <v>177</v>
      </c>
      <c r="H4" s="298" t="s">
        <v>178</v>
      </c>
      <c r="I4" s="301" t="s">
        <v>125</v>
      </c>
      <c r="J4" s="298" t="s">
        <v>126</v>
      </c>
      <c r="K4" s="84" t="s">
        <v>128</v>
      </c>
      <c r="L4" s="202" t="s">
        <v>111</v>
      </c>
      <c r="M4" s="89" t="s">
        <v>63</v>
      </c>
      <c r="N4" s="298"/>
      <c r="O4" s="285" t="s">
        <v>186</v>
      </c>
      <c r="P4" s="301" t="s">
        <v>49</v>
      </c>
      <c r="Q4" s="303" t="s">
        <v>48</v>
      </c>
      <c r="R4" s="90" t="s">
        <v>64</v>
      </c>
      <c r="S4" s="90"/>
      <c r="T4" s="90"/>
      <c r="U4" s="91" t="s">
        <v>63</v>
      </c>
    </row>
    <row r="5" spans="1:21" ht="67.5" customHeight="1">
      <c r="A5" s="290"/>
      <c r="B5" s="291"/>
      <c r="C5" s="292"/>
      <c r="D5" s="293"/>
      <c r="E5" s="284"/>
      <c r="F5" s="310"/>
      <c r="G5" s="302"/>
      <c r="H5" s="299"/>
      <c r="I5" s="302"/>
      <c r="J5" s="299"/>
      <c r="K5" s="304" t="s">
        <v>181</v>
      </c>
      <c r="L5" s="305"/>
      <c r="M5" s="306"/>
      <c r="N5" s="299"/>
      <c r="O5" s="286"/>
      <c r="P5" s="302"/>
      <c r="Q5" s="303"/>
      <c r="R5" s="314" t="s">
        <v>182</v>
      </c>
      <c r="S5" s="315"/>
      <c r="T5" s="316" t="s">
        <v>183</v>
      </c>
      <c r="U5" s="316"/>
    </row>
    <row r="6" spans="1:21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09">
        <v>17</v>
      </c>
    </row>
    <row r="7" spans="1:21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10"/>
      <c r="T7" s="10"/>
      <c r="U7" s="92"/>
    </row>
    <row r="8" spans="1:21" s="6" customFormat="1" ht="17.25">
      <c r="A8" s="7"/>
      <c r="B8" s="152" t="s">
        <v>9</v>
      </c>
      <c r="C8" s="69" t="s">
        <v>10</v>
      </c>
      <c r="D8" s="149">
        <f>D9+D15+D18+D19+D23+D40+D17</f>
        <v>1298451.1</v>
      </c>
      <c r="E8" s="149">
        <f>E9+E15+E18+E19+E23+E40+E17+E21+E22</f>
        <v>397977.5</v>
      </c>
      <c r="F8" s="149">
        <f>F9+F15+F18+F19+F23+F40</f>
        <v>360066.14</v>
      </c>
      <c r="G8" s="149">
        <f aca="true" t="shared" si="0" ref="G8:G40">F8-E8</f>
        <v>-37911.359999999986</v>
      </c>
      <c r="H8" s="150">
        <f>F8/E8*100</f>
        <v>90.47399413283415</v>
      </c>
      <c r="I8" s="151">
        <f>F8-D8</f>
        <v>-938384.9600000001</v>
      </c>
      <c r="J8" s="151">
        <f>F8/D8*100</f>
        <v>27.730435131519393</v>
      </c>
      <c r="K8" s="149">
        <v>294130.62</v>
      </c>
      <c r="L8" s="149">
        <f aca="true" t="shared" si="1" ref="L8:L54">F8-K8</f>
        <v>65935.52000000002</v>
      </c>
      <c r="M8" s="203">
        <f aca="true" t="shared" si="2" ref="M8:M31">F8/K8</f>
        <v>1.224170880270813</v>
      </c>
      <c r="N8" s="149">
        <f>N9+N15+N18+N19+N23+N17</f>
        <v>105438</v>
      </c>
      <c r="O8" s="149">
        <f>O9+O15+O18+O19+O23+O17</f>
        <v>66520.32</v>
      </c>
      <c r="P8" s="149">
        <f>O8-N8</f>
        <v>-38917.67999999999</v>
      </c>
      <c r="Q8" s="149">
        <f>O8/N8*100</f>
        <v>63.08951232003642</v>
      </c>
      <c r="R8" s="15">
        <f>R9+R15+R18+R19+R23</f>
        <v>105040</v>
      </c>
      <c r="S8" s="15">
        <f>O8-R8</f>
        <v>-38519.67999999999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2">
        <v>11010000</v>
      </c>
      <c r="D9" s="148">
        <v>766645</v>
      </c>
      <c r="E9" s="148">
        <v>220860</v>
      </c>
      <c r="F9" s="154">
        <v>203800.3</v>
      </c>
      <c r="G9" s="148">
        <f t="shared" si="0"/>
        <v>-17059.70000000001</v>
      </c>
      <c r="H9" s="155">
        <f>F9/E9*100</f>
        <v>92.27578556551661</v>
      </c>
      <c r="I9" s="156">
        <f>F9-D9</f>
        <v>-562844.7</v>
      </c>
      <c r="J9" s="156">
        <f>F9/D9*100</f>
        <v>26.58339909606141</v>
      </c>
      <c r="K9" s="225">
        <v>158037.8</v>
      </c>
      <c r="L9" s="157">
        <f t="shared" si="1"/>
        <v>45762.5</v>
      </c>
      <c r="M9" s="204">
        <f t="shared" si="2"/>
        <v>1.289566799841557</v>
      </c>
      <c r="N9" s="155">
        <f>E9-березень!E9</f>
        <v>59000</v>
      </c>
      <c r="O9" s="158">
        <f>F9-березень!F9</f>
        <v>41612.94</v>
      </c>
      <c r="P9" s="159">
        <f>O9-N9</f>
        <v>-17387.059999999998</v>
      </c>
      <c r="Q9" s="156">
        <f>O9/N9*100</f>
        <v>70.53040677966102</v>
      </c>
      <c r="R9" s="99">
        <v>61380</v>
      </c>
      <c r="S9" s="99">
        <f>O9-R9</f>
        <v>-19767.059999999998</v>
      </c>
      <c r="T9" s="99">
        <f>березень!F9+квітень!R9</f>
        <v>223567.36</v>
      </c>
      <c r="U9" s="99">
        <f>F9-T9</f>
        <v>-19767.059999999998</v>
      </c>
    </row>
    <row r="10" spans="1:21" s="6" customFormat="1" ht="15" customHeight="1" hidden="1">
      <c r="A10" s="8"/>
      <c r="B10" s="120" t="s">
        <v>89</v>
      </c>
      <c r="C10" s="101">
        <v>11010100</v>
      </c>
      <c r="D10" s="102">
        <v>701317</v>
      </c>
      <c r="E10" s="102">
        <v>200136</v>
      </c>
      <c r="F10" s="138">
        <v>187255.11</v>
      </c>
      <c r="G10" s="102">
        <f t="shared" si="0"/>
        <v>-12880.890000000014</v>
      </c>
      <c r="H10" s="29">
        <f aca="true" t="shared" si="3" ref="H10:H39">F10/E10*100</f>
        <v>93.56393152656193</v>
      </c>
      <c r="I10" s="103">
        <f aca="true" t="shared" si="4" ref="I10:I40">F10-D10</f>
        <v>-514061.89</v>
      </c>
      <c r="J10" s="103">
        <f aca="true" t="shared" si="5" ref="J10:J39">F10/D10*100</f>
        <v>26.700494925974983</v>
      </c>
      <c r="K10" s="105">
        <v>137815.99</v>
      </c>
      <c r="L10" s="105">
        <f t="shared" si="1"/>
        <v>49439.119999999995</v>
      </c>
      <c r="M10" s="205">
        <f t="shared" si="2"/>
        <v>1.3587328291876726</v>
      </c>
      <c r="N10" s="104">
        <f>E10-березень!E10</f>
        <v>53624</v>
      </c>
      <c r="O10" s="142">
        <f>F10-березень!F10</f>
        <v>38939.73999999999</v>
      </c>
      <c r="P10" s="105">
        <f aca="true" t="shared" si="6" ref="P10:P40">O10-N10</f>
        <v>-14684.26000000001</v>
      </c>
      <c r="Q10" s="103">
        <f aca="true" t="shared" si="7" ref="Q10:Q27">O10/N10*100</f>
        <v>72.61625391615692</v>
      </c>
      <c r="R10" s="36"/>
      <c r="S10" s="99">
        <f aca="true" t="shared" si="8" ref="S10:S35">O10-R10</f>
        <v>38939.73999999999</v>
      </c>
      <c r="T10" s="36"/>
      <c r="U10" s="93"/>
    </row>
    <row r="11" spans="1:21" s="6" customFormat="1" ht="15" customHeight="1" hidden="1">
      <c r="A11" s="8"/>
      <c r="B11" s="120" t="s">
        <v>85</v>
      </c>
      <c r="C11" s="101">
        <v>11010200</v>
      </c>
      <c r="D11" s="102">
        <v>46506</v>
      </c>
      <c r="E11" s="102">
        <v>14700</v>
      </c>
      <c r="F11" s="138">
        <v>10747.05</v>
      </c>
      <c r="G11" s="102">
        <f t="shared" si="0"/>
        <v>-3952.9500000000007</v>
      </c>
      <c r="H11" s="29">
        <f t="shared" si="3"/>
        <v>73.10918367346937</v>
      </c>
      <c r="I11" s="103">
        <f t="shared" si="4"/>
        <v>-35758.95</v>
      </c>
      <c r="J11" s="103">
        <f t="shared" si="5"/>
        <v>23.10895368339569</v>
      </c>
      <c r="K11" s="105">
        <v>11487.54</v>
      </c>
      <c r="L11" s="105">
        <f t="shared" si="1"/>
        <v>-740.4900000000016</v>
      </c>
      <c r="M11" s="205">
        <f t="shared" si="2"/>
        <v>0.9355397239095575</v>
      </c>
      <c r="N11" s="104">
        <f>E11-березень!E11</f>
        <v>3900</v>
      </c>
      <c r="O11" s="142">
        <f>F11-березень!F11</f>
        <v>1642.5699999999997</v>
      </c>
      <c r="P11" s="105">
        <f t="shared" si="6"/>
        <v>-2257.4300000000003</v>
      </c>
      <c r="Q11" s="103">
        <f t="shared" si="7"/>
        <v>42.11717948717948</v>
      </c>
      <c r="R11" s="36"/>
      <c r="S11" s="99">
        <f t="shared" si="8"/>
        <v>1642.5699999999997</v>
      </c>
      <c r="T11" s="36"/>
      <c r="U11" s="93"/>
    </row>
    <row r="12" spans="1:21" s="6" customFormat="1" ht="15" customHeight="1" hidden="1">
      <c r="A12" s="8"/>
      <c r="B12" s="120" t="s">
        <v>88</v>
      </c>
      <c r="C12" s="101">
        <v>11010400</v>
      </c>
      <c r="D12" s="102">
        <v>8280</v>
      </c>
      <c r="E12" s="102">
        <v>2340</v>
      </c>
      <c r="F12" s="138">
        <v>2254.41</v>
      </c>
      <c r="G12" s="102">
        <f t="shared" si="0"/>
        <v>-85.59000000000015</v>
      </c>
      <c r="H12" s="29">
        <f t="shared" si="3"/>
        <v>96.34230769230768</v>
      </c>
      <c r="I12" s="103">
        <f t="shared" si="4"/>
        <v>-6025.59</v>
      </c>
      <c r="J12" s="103">
        <f t="shared" si="5"/>
        <v>27.22717391304348</v>
      </c>
      <c r="K12" s="105">
        <v>4096.43</v>
      </c>
      <c r="L12" s="105">
        <f t="shared" si="1"/>
        <v>-1842.0200000000004</v>
      </c>
      <c r="M12" s="205">
        <f t="shared" si="2"/>
        <v>0.5503352919493314</v>
      </c>
      <c r="N12" s="104">
        <f>E12-березень!E12</f>
        <v>600</v>
      </c>
      <c r="O12" s="142">
        <f>F12-березень!F12</f>
        <v>489.7199999999998</v>
      </c>
      <c r="P12" s="105">
        <f t="shared" si="6"/>
        <v>-110.2800000000002</v>
      </c>
      <c r="Q12" s="103">
        <f t="shared" si="7"/>
        <v>81.61999999999998</v>
      </c>
      <c r="R12" s="36"/>
      <c r="S12" s="99">
        <f t="shared" si="8"/>
        <v>489.7199999999998</v>
      </c>
      <c r="T12" s="36"/>
      <c r="U12" s="93"/>
    </row>
    <row r="13" spans="1:21" s="6" customFormat="1" ht="15" customHeight="1" hidden="1">
      <c r="A13" s="8"/>
      <c r="B13" s="120" t="s">
        <v>86</v>
      </c>
      <c r="C13" s="101">
        <v>11010500</v>
      </c>
      <c r="D13" s="102">
        <v>9390</v>
      </c>
      <c r="E13" s="102">
        <v>3300</v>
      </c>
      <c r="F13" s="138">
        <v>3061.57</v>
      </c>
      <c r="G13" s="102">
        <f t="shared" si="0"/>
        <v>-238.42999999999984</v>
      </c>
      <c r="H13" s="29">
        <f t="shared" si="3"/>
        <v>92.77484848484849</v>
      </c>
      <c r="I13" s="103">
        <f t="shared" si="4"/>
        <v>-6328.43</v>
      </c>
      <c r="J13" s="103">
        <f t="shared" si="5"/>
        <v>32.60457933972311</v>
      </c>
      <c r="K13" s="105">
        <v>3211.48</v>
      </c>
      <c r="L13" s="105">
        <f t="shared" si="1"/>
        <v>-149.90999999999985</v>
      </c>
      <c r="M13" s="205">
        <f t="shared" si="2"/>
        <v>0.9533205873927286</v>
      </c>
      <c r="N13" s="104">
        <f>E13-березень!E13</f>
        <v>780</v>
      </c>
      <c r="O13" s="142">
        <f>F13-березень!F13</f>
        <v>432.4100000000003</v>
      </c>
      <c r="P13" s="105">
        <f t="shared" si="6"/>
        <v>-347.5899999999997</v>
      </c>
      <c r="Q13" s="103">
        <f t="shared" si="7"/>
        <v>55.43717948717952</v>
      </c>
      <c r="R13" s="36"/>
      <c r="S13" s="99">
        <f t="shared" si="8"/>
        <v>432.4100000000003</v>
      </c>
      <c r="T13" s="36"/>
      <c r="U13" s="93"/>
    </row>
    <row r="14" spans="1:21" s="6" customFormat="1" ht="15" customHeight="1" hidden="1">
      <c r="A14" s="8"/>
      <c r="B14" s="120" t="s">
        <v>87</v>
      </c>
      <c r="C14" s="101">
        <v>11010900</v>
      </c>
      <c r="D14" s="102">
        <v>1152</v>
      </c>
      <c r="E14" s="102">
        <v>384</v>
      </c>
      <c r="F14" s="138">
        <v>482.17</v>
      </c>
      <c r="G14" s="102">
        <f t="shared" si="0"/>
        <v>98.17000000000002</v>
      </c>
      <c r="H14" s="29">
        <f t="shared" si="3"/>
        <v>125.56510416666666</v>
      </c>
      <c r="I14" s="103">
        <f t="shared" si="4"/>
        <v>-669.8299999999999</v>
      </c>
      <c r="J14" s="103">
        <f t="shared" si="5"/>
        <v>41.85503472222222</v>
      </c>
      <c r="K14" s="105">
        <v>1426.36</v>
      </c>
      <c r="L14" s="105">
        <f t="shared" si="1"/>
        <v>-944.1899999999998</v>
      </c>
      <c r="M14" s="205">
        <f t="shared" si="2"/>
        <v>0.33804228946409043</v>
      </c>
      <c r="N14" s="104">
        <f>E14-березень!E14</f>
        <v>96</v>
      </c>
      <c r="O14" s="142">
        <f>F14-березень!F14</f>
        <v>108.5</v>
      </c>
      <c r="P14" s="105">
        <f t="shared" si="6"/>
        <v>12.5</v>
      </c>
      <c r="Q14" s="103">
        <f t="shared" si="7"/>
        <v>113.02083333333333</v>
      </c>
      <c r="R14" s="36"/>
      <c r="S14" s="99">
        <f t="shared" si="8"/>
        <v>108.5</v>
      </c>
      <c r="T14" s="36"/>
      <c r="U14" s="93"/>
    </row>
    <row r="15" spans="1:21" s="6" customFormat="1" ht="30.75">
      <c r="A15" s="8"/>
      <c r="B15" s="12" t="s">
        <v>11</v>
      </c>
      <c r="C15" s="42">
        <v>11020200</v>
      </c>
      <c r="D15" s="148">
        <v>551</v>
      </c>
      <c r="E15" s="148">
        <v>171</v>
      </c>
      <c r="F15" s="154">
        <v>-366.42</v>
      </c>
      <c r="G15" s="148">
        <f t="shared" si="0"/>
        <v>-537.4200000000001</v>
      </c>
      <c r="H15" s="155">
        <f>F15/E15*100</f>
        <v>-214.28070175438597</v>
      </c>
      <c r="I15" s="156">
        <f t="shared" si="4"/>
        <v>-917.4200000000001</v>
      </c>
      <c r="J15" s="156">
        <f>F15/D15*100</f>
        <v>-66.50090744101634</v>
      </c>
      <c r="K15" s="159">
        <v>185.84</v>
      </c>
      <c r="L15" s="159">
        <f t="shared" si="1"/>
        <v>-552.26</v>
      </c>
      <c r="M15" s="206">
        <f t="shared" si="2"/>
        <v>-1.9716960826517436</v>
      </c>
      <c r="N15" s="162">
        <f>E15-березень!E15</f>
        <v>0</v>
      </c>
      <c r="O15" s="166">
        <f>F15-березень!F15</f>
        <v>0</v>
      </c>
      <c r="P15" s="159">
        <f t="shared" si="6"/>
        <v>0</v>
      </c>
      <c r="Q15" s="156"/>
      <c r="R15" s="36">
        <v>46</v>
      </c>
      <c r="S15" s="99">
        <f t="shared" si="8"/>
        <v>-46</v>
      </c>
      <c r="T15" s="36"/>
      <c r="U15" s="93"/>
    </row>
    <row r="16" spans="1:21" s="6" customFormat="1" ht="18" customHeight="1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62">
        <f>E16-березень!E16</f>
        <v>0</v>
      </c>
      <c r="O16" s="166">
        <f>F16-березень!F16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99">
        <f t="shared" si="8"/>
        <v>358.81</v>
      </c>
      <c r="T16" s="103"/>
      <c r="U16" s="108">
        <f>O16/358.79</f>
        <v>0</v>
      </c>
    </row>
    <row r="17" spans="1:21" s="6" customFormat="1" ht="30.75" customHeight="1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55" t="e">
        <f>F17/E17/100</f>
        <v>#DIV/0!</v>
      </c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>
        <f t="shared" si="2"/>
        <v>0</v>
      </c>
      <c r="N17" s="162">
        <f>E17-березень!E17</f>
        <v>0</v>
      </c>
      <c r="O17" s="166">
        <f>F17-березень!F17</f>
        <v>0</v>
      </c>
      <c r="P17" s="165">
        <f t="shared" si="6"/>
        <v>0</v>
      </c>
      <c r="Q17" s="156" t="e">
        <f t="shared" si="7"/>
        <v>#DIV/0!</v>
      </c>
      <c r="R17" s="103"/>
      <c r="S17" s="99">
        <f t="shared" si="8"/>
        <v>0</v>
      </c>
      <c r="T17" s="103"/>
      <c r="U17" s="108"/>
    </row>
    <row r="18" spans="1:21" s="6" customFormat="1" ht="30.75">
      <c r="A18" s="8"/>
      <c r="B18" s="13" t="s">
        <v>114</v>
      </c>
      <c r="C18" s="42">
        <v>13030200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62">
        <f>E18-березень!E18</f>
        <v>0</v>
      </c>
      <c r="O18" s="166">
        <f>F18-березень!F18</f>
        <v>0</v>
      </c>
      <c r="P18" s="159">
        <f t="shared" si="6"/>
        <v>0</v>
      </c>
      <c r="Q18" s="156"/>
      <c r="R18" s="36">
        <v>0</v>
      </c>
      <c r="S18" s="99">
        <f t="shared" si="8"/>
        <v>0</v>
      </c>
      <c r="T18" s="36"/>
      <c r="U18" s="93"/>
    </row>
    <row r="19" spans="1:21" s="6" customFormat="1" ht="18">
      <c r="A19" s="8"/>
      <c r="B19" s="13" t="s">
        <v>160</v>
      </c>
      <c r="C19" s="42"/>
      <c r="D19" s="148">
        <f>D20+D21+D22</f>
        <v>130000</v>
      </c>
      <c r="E19" s="148">
        <f>E20+E21+E22</f>
        <v>37900</v>
      </c>
      <c r="F19" s="154">
        <v>32203.73</v>
      </c>
      <c r="G19" s="160">
        <f t="shared" si="0"/>
        <v>-5696.27</v>
      </c>
      <c r="H19" s="162">
        <f t="shared" si="3"/>
        <v>84.97026385224274</v>
      </c>
      <c r="I19" s="163">
        <f t="shared" si="4"/>
        <v>-97796.27</v>
      </c>
      <c r="J19" s="163">
        <f t="shared" si="5"/>
        <v>24.7721</v>
      </c>
      <c r="K19" s="159">
        <v>26018.63</v>
      </c>
      <c r="L19" s="165">
        <f t="shared" si="1"/>
        <v>6185.0999999999985</v>
      </c>
      <c r="M19" s="211">
        <f t="shared" si="2"/>
        <v>1.237718127357205</v>
      </c>
      <c r="N19" s="162">
        <f>E19-березень!E19</f>
        <v>10100</v>
      </c>
      <c r="O19" s="166">
        <f>F19-березень!F19</f>
        <v>4569.869999999999</v>
      </c>
      <c r="P19" s="165">
        <f t="shared" si="6"/>
        <v>-5530.130000000001</v>
      </c>
      <c r="Q19" s="163">
        <f t="shared" si="7"/>
        <v>45.24623762376236</v>
      </c>
      <c r="R19" s="36">
        <v>8000</v>
      </c>
      <c r="S19" s="99">
        <f t="shared" si="8"/>
        <v>-3430.130000000001</v>
      </c>
      <c r="T19" s="36"/>
      <c r="U19" s="93"/>
    </row>
    <row r="20" spans="1:21" s="6" customFormat="1" ht="46.5">
      <c r="A20" s="8"/>
      <c r="B20" s="250" t="s">
        <v>161</v>
      </c>
      <c r="C20" s="122">
        <v>14040000</v>
      </c>
      <c r="D20" s="251">
        <v>130000</v>
      </c>
      <c r="E20" s="251">
        <v>37900</v>
      </c>
      <c r="F20" s="199">
        <v>19598.92</v>
      </c>
      <c r="G20" s="251">
        <f t="shared" si="0"/>
        <v>-18301.08</v>
      </c>
      <c r="H20" s="193">
        <f t="shared" si="3"/>
        <v>51.71218997361478</v>
      </c>
      <c r="I20" s="252">
        <f t="shared" si="4"/>
        <v>-110401.08</v>
      </c>
      <c r="J20" s="252">
        <f t="shared" si="5"/>
        <v>15.076092307692306</v>
      </c>
      <c r="K20" s="253">
        <v>26018.6</v>
      </c>
      <c r="L20" s="164">
        <f t="shared" si="1"/>
        <v>-6419.68</v>
      </c>
      <c r="M20" s="254">
        <f t="shared" si="2"/>
        <v>0.7532657406624491</v>
      </c>
      <c r="N20" s="193">
        <f>E20-березень!E20</f>
        <v>10100</v>
      </c>
      <c r="O20" s="177">
        <f>F20-березень!F20</f>
        <v>1864.859999999997</v>
      </c>
      <c r="P20" s="164">
        <f t="shared" si="6"/>
        <v>-8235.140000000003</v>
      </c>
      <c r="Q20" s="252">
        <f t="shared" si="7"/>
        <v>18.463960396039575</v>
      </c>
      <c r="R20" s="106">
        <v>4300</v>
      </c>
      <c r="S20" s="99">
        <f t="shared" si="8"/>
        <v>-2435.140000000003</v>
      </c>
      <c r="T20" s="106"/>
      <c r="U20" s="107"/>
    </row>
    <row r="21" spans="1:21" s="6" customFormat="1" ht="18">
      <c r="A21" s="8"/>
      <c r="B21" s="250" t="s">
        <v>158</v>
      </c>
      <c r="C21" s="122">
        <v>14021900</v>
      </c>
      <c r="D21" s="251">
        <v>0</v>
      </c>
      <c r="E21" s="251">
        <v>0</v>
      </c>
      <c r="F21" s="199">
        <v>2506.41</v>
      </c>
      <c r="G21" s="251">
        <f t="shared" si="0"/>
        <v>2506.41</v>
      </c>
      <c r="H21" s="193"/>
      <c r="I21" s="252">
        <f t="shared" si="4"/>
        <v>2506.41</v>
      </c>
      <c r="J21" s="252"/>
      <c r="K21" s="253">
        <v>0</v>
      </c>
      <c r="L21" s="164">
        <f t="shared" si="1"/>
        <v>2506.41</v>
      </c>
      <c r="M21" s="254"/>
      <c r="N21" s="193">
        <f>E21-березень!E21</f>
        <v>0</v>
      </c>
      <c r="O21" s="177">
        <f>F21-березень!F21</f>
        <v>269.6199999999999</v>
      </c>
      <c r="P21" s="164"/>
      <c r="Q21" s="252"/>
      <c r="R21" s="106">
        <v>700</v>
      </c>
      <c r="S21" s="99">
        <f t="shared" si="8"/>
        <v>-430.3800000000001</v>
      </c>
      <c r="T21" s="106"/>
      <c r="U21" s="107"/>
    </row>
    <row r="22" spans="1:21" s="6" customFormat="1" ht="18">
      <c r="A22" s="8"/>
      <c r="B22" s="250" t="s">
        <v>159</v>
      </c>
      <c r="C22" s="122">
        <v>14031900</v>
      </c>
      <c r="D22" s="251">
        <v>0</v>
      </c>
      <c r="E22" s="251">
        <v>0</v>
      </c>
      <c r="F22" s="199">
        <v>10098.4</v>
      </c>
      <c r="G22" s="251">
        <f t="shared" si="0"/>
        <v>10098.4</v>
      </c>
      <c r="H22" s="193"/>
      <c r="I22" s="252">
        <f t="shared" si="4"/>
        <v>10098.4</v>
      </c>
      <c r="J22" s="252"/>
      <c r="K22" s="253">
        <v>0</v>
      </c>
      <c r="L22" s="164">
        <f t="shared" si="1"/>
        <v>10098.4</v>
      </c>
      <c r="M22" s="254"/>
      <c r="N22" s="193">
        <f>E22-березень!E22</f>
        <v>0</v>
      </c>
      <c r="O22" s="177">
        <f>F22-березень!F22</f>
        <v>2435.3899999999994</v>
      </c>
      <c r="P22" s="164"/>
      <c r="Q22" s="252"/>
      <c r="R22" s="106">
        <v>3000</v>
      </c>
      <c r="S22" s="99">
        <f t="shared" si="8"/>
        <v>-564.6100000000006</v>
      </c>
      <c r="T22" s="106"/>
      <c r="U22" s="107"/>
    </row>
    <row r="23" spans="1:21" s="6" customFormat="1" ht="18">
      <c r="A23" s="8"/>
      <c r="B23" s="116" t="s">
        <v>73</v>
      </c>
      <c r="C23" s="42">
        <v>18000000</v>
      </c>
      <c r="D23" s="148">
        <f>D24+D33+D35+D32</f>
        <v>401130.1</v>
      </c>
      <c r="E23" s="148">
        <f>E24+E33+E35+E32</f>
        <v>138976.5</v>
      </c>
      <c r="F23" s="221">
        <f>F24+F32+F33+F34+F35</f>
        <v>124310.07</v>
      </c>
      <c r="G23" s="148">
        <f t="shared" si="0"/>
        <v>-14666.429999999993</v>
      </c>
      <c r="H23" s="155">
        <f t="shared" si="3"/>
        <v>89.44682734131311</v>
      </c>
      <c r="I23" s="156">
        <f t="shared" si="4"/>
        <v>-276820.02999999997</v>
      </c>
      <c r="J23" s="156">
        <f t="shared" si="5"/>
        <v>30.98996310673271</v>
      </c>
      <c r="K23" s="156">
        <v>109782.5</v>
      </c>
      <c r="L23" s="159">
        <f t="shared" si="1"/>
        <v>14527.570000000007</v>
      </c>
      <c r="M23" s="207">
        <f t="shared" si="2"/>
        <v>1.1323304716143283</v>
      </c>
      <c r="N23" s="155">
        <f>E23-березень!E23</f>
        <v>36338</v>
      </c>
      <c r="O23" s="158">
        <f>F23-березень!F23</f>
        <v>20337.51000000001</v>
      </c>
      <c r="P23" s="159">
        <f t="shared" si="6"/>
        <v>-16000.48999999999</v>
      </c>
      <c r="Q23" s="156">
        <f t="shared" si="7"/>
        <v>55.96760966481372</v>
      </c>
      <c r="R23" s="281">
        <f>R24+R32+R33+R34+R35</f>
        <v>35614</v>
      </c>
      <c r="S23" s="99">
        <f t="shared" si="8"/>
        <v>-15276.48999999999</v>
      </c>
      <c r="T23" s="106"/>
      <c r="U23" s="107"/>
    </row>
    <row r="24" spans="1:21" s="6" customFormat="1" ht="18">
      <c r="A24" s="8"/>
      <c r="B24" s="43" t="s">
        <v>81</v>
      </c>
      <c r="C24" s="113">
        <v>18010000</v>
      </c>
      <c r="D24" s="148">
        <f>D25+D28+D29</f>
        <v>206621</v>
      </c>
      <c r="E24" s="148">
        <f>E25+E28+E29</f>
        <v>67343.8</v>
      </c>
      <c r="F24" s="221">
        <f>F25+F28+F29</f>
        <v>54839.93</v>
      </c>
      <c r="G24" s="148">
        <f t="shared" si="0"/>
        <v>-12503.870000000003</v>
      </c>
      <c r="H24" s="155">
        <f t="shared" si="3"/>
        <v>81.43278223088095</v>
      </c>
      <c r="I24" s="156">
        <f t="shared" si="4"/>
        <v>-151781.07</v>
      </c>
      <c r="J24" s="156">
        <f t="shared" si="5"/>
        <v>26.541314774393697</v>
      </c>
      <c r="K24" s="156">
        <v>58036.24</v>
      </c>
      <c r="L24" s="159">
        <f t="shared" si="1"/>
        <v>-3196.3099999999977</v>
      </c>
      <c r="M24" s="207">
        <f t="shared" si="2"/>
        <v>0.944925618889163</v>
      </c>
      <c r="N24" s="155">
        <f>E24-березень!E24</f>
        <v>19503</v>
      </c>
      <c r="O24" s="158">
        <f>F24-березень!F24</f>
        <v>6276.57</v>
      </c>
      <c r="P24" s="159">
        <f t="shared" si="6"/>
        <v>-13226.43</v>
      </c>
      <c r="Q24" s="156">
        <f t="shared" si="7"/>
        <v>32.18258729426242</v>
      </c>
      <c r="R24" s="106">
        <f>R25+R28+R29</f>
        <v>18772</v>
      </c>
      <c r="S24" s="99">
        <f t="shared" si="8"/>
        <v>-12495.43</v>
      </c>
      <c r="T24" s="106"/>
      <c r="U24" s="107"/>
    </row>
    <row r="25" spans="1:21" s="6" customFormat="1" ht="18">
      <c r="A25" s="8"/>
      <c r="B25" s="49" t="s">
        <v>74</v>
      </c>
      <c r="C25" s="122"/>
      <c r="D25" s="169">
        <v>22809</v>
      </c>
      <c r="E25" s="169">
        <v>9330</v>
      </c>
      <c r="F25" s="170">
        <v>6990.18</v>
      </c>
      <c r="G25" s="169">
        <f t="shared" si="0"/>
        <v>-2339.8199999999997</v>
      </c>
      <c r="H25" s="171">
        <f t="shared" si="3"/>
        <v>74.92154340836014</v>
      </c>
      <c r="I25" s="172">
        <f t="shared" si="4"/>
        <v>-15818.82</v>
      </c>
      <c r="J25" s="172">
        <f t="shared" si="5"/>
        <v>30.646586873602526</v>
      </c>
      <c r="K25" s="173">
        <v>8413.21</v>
      </c>
      <c r="L25" s="164">
        <f t="shared" si="1"/>
        <v>-1423.0299999999988</v>
      </c>
      <c r="M25" s="213">
        <f t="shared" si="2"/>
        <v>0.8308576631273914</v>
      </c>
      <c r="N25" s="193">
        <f>E25-березень!E25</f>
        <v>4380</v>
      </c>
      <c r="O25" s="177">
        <f>F25-березень!F25</f>
        <v>1776.2400000000007</v>
      </c>
      <c r="P25" s="175">
        <f t="shared" si="6"/>
        <v>-2603.7599999999993</v>
      </c>
      <c r="Q25" s="172">
        <f t="shared" si="7"/>
        <v>40.553424657534265</v>
      </c>
      <c r="R25" s="106">
        <v>3710</v>
      </c>
      <c r="S25" s="99">
        <f t="shared" si="8"/>
        <v>-1933.7599999999993</v>
      </c>
      <c r="T25" s="106"/>
      <c r="U25" s="107"/>
    </row>
    <row r="26" spans="1:21" s="6" customFormat="1" ht="18" customHeight="1" hidden="1">
      <c r="A26" s="8"/>
      <c r="B26" s="194" t="s">
        <v>107</v>
      </c>
      <c r="C26" s="195"/>
      <c r="D26" s="196">
        <v>1822.3</v>
      </c>
      <c r="E26" s="196">
        <v>550</v>
      </c>
      <c r="F26" s="161">
        <v>168.05</v>
      </c>
      <c r="G26" s="196">
        <f t="shared" si="0"/>
        <v>-381.95</v>
      </c>
      <c r="H26" s="197">
        <f t="shared" si="3"/>
        <v>30.554545454545455</v>
      </c>
      <c r="I26" s="198">
        <f t="shared" si="4"/>
        <v>-1654.25</v>
      </c>
      <c r="J26" s="198">
        <f t="shared" si="5"/>
        <v>9.22186248147945</v>
      </c>
      <c r="K26" s="198">
        <v>252.55</v>
      </c>
      <c r="L26" s="198">
        <f t="shared" si="1"/>
        <v>-84.5</v>
      </c>
      <c r="M26" s="226">
        <f t="shared" si="2"/>
        <v>0.6654127895466244</v>
      </c>
      <c r="N26" s="234">
        <f>E26-березень!E26</f>
        <v>300</v>
      </c>
      <c r="O26" s="234">
        <f>F26-березень!F26</f>
        <v>10.980000000000018</v>
      </c>
      <c r="P26" s="198">
        <f t="shared" si="6"/>
        <v>-289.02</v>
      </c>
      <c r="Q26" s="198">
        <f t="shared" si="7"/>
        <v>3.6600000000000064</v>
      </c>
      <c r="R26" s="106"/>
      <c r="S26" s="99">
        <f t="shared" si="8"/>
        <v>10.980000000000018</v>
      </c>
      <c r="T26" s="106"/>
      <c r="U26" s="107"/>
    </row>
    <row r="27" spans="1:21" s="6" customFormat="1" ht="18" customHeight="1" hidden="1">
      <c r="A27" s="8"/>
      <c r="B27" s="194" t="s">
        <v>108</v>
      </c>
      <c r="C27" s="195"/>
      <c r="D27" s="196">
        <v>20986.7</v>
      </c>
      <c r="E27" s="196">
        <v>8780</v>
      </c>
      <c r="F27" s="161">
        <v>6822.14</v>
      </c>
      <c r="G27" s="196">
        <f t="shared" si="0"/>
        <v>-1957.8599999999997</v>
      </c>
      <c r="H27" s="197">
        <f t="shared" si="3"/>
        <v>77.70091116173121</v>
      </c>
      <c r="I27" s="198">
        <f t="shared" si="4"/>
        <v>-14164.560000000001</v>
      </c>
      <c r="J27" s="198">
        <f t="shared" si="5"/>
        <v>32.50696869922379</v>
      </c>
      <c r="K27" s="198">
        <v>8160.66</v>
      </c>
      <c r="L27" s="198">
        <f t="shared" si="1"/>
        <v>-1338.5199999999995</v>
      </c>
      <c r="M27" s="226">
        <f t="shared" si="2"/>
        <v>0.8359789526827488</v>
      </c>
      <c r="N27" s="234">
        <f>E27-березень!E27</f>
        <v>4080</v>
      </c>
      <c r="O27" s="234">
        <f>F27-березень!F27</f>
        <v>1765.2700000000004</v>
      </c>
      <c r="P27" s="198">
        <f t="shared" si="6"/>
        <v>-2314.7299999999996</v>
      </c>
      <c r="Q27" s="198">
        <f t="shared" si="7"/>
        <v>43.266421568627464</v>
      </c>
      <c r="R27" s="106"/>
      <c r="S27" s="99">
        <f t="shared" si="8"/>
        <v>1765.2700000000004</v>
      </c>
      <c r="T27" s="106"/>
      <c r="U27" s="107"/>
    </row>
    <row r="28" spans="1:21" s="6" customFormat="1" ht="18">
      <c r="A28" s="8"/>
      <c r="B28" s="49" t="s">
        <v>75</v>
      </c>
      <c r="C28" s="122"/>
      <c r="D28" s="169">
        <v>820</v>
      </c>
      <c r="E28" s="169">
        <v>123.8</v>
      </c>
      <c r="F28" s="170">
        <v>62.03</v>
      </c>
      <c r="G28" s="169">
        <f t="shared" si="0"/>
        <v>-61.769999999999996</v>
      </c>
      <c r="H28" s="171">
        <f t="shared" si="3"/>
        <v>50.10500807754443</v>
      </c>
      <c r="I28" s="172">
        <f t="shared" si="4"/>
        <v>-757.97</v>
      </c>
      <c r="J28" s="172">
        <f t="shared" si="5"/>
        <v>7.564634146341463</v>
      </c>
      <c r="K28" s="172">
        <v>386.58</v>
      </c>
      <c r="L28" s="172">
        <f t="shared" si="1"/>
        <v>-324.54999999999995</v>
      </c>
      <c r="M28" s="210">
        <f t="shared" si="2"/>
        <v>0.1604583786021005</v>
      </c>
      <c r="N28" s="193">
        <f>E28-березень!E28</f>
        <v>68</v>
      </c>
      <c r="O28" s="177">
        <f>F28-березень!F28</f>
        <v>30.78</v>
      </c>
      <c r="P28" s="175">
        <f t="shared" si="6"/>
        <v>-37.22</v>
      </c>
      <c r="Q28" s="172">
        <f>O28/N28*100</f>
        <v>45.26470588235294</v>
      </c>
      <c r="R28" s="106">
        <v>7</v>
      </c>
      <c r="S28" s="99">
        <f t="shared" si="8"/>
        <v>23.78</v>
      </c>
      <c r="T28" s="106"/>
      <c r="U28" s="107"/>
    </row>
    <row r="29" spans="1:21" s="6" customFormat="1" ht="18">
      <c r="A29" s="8"/>
      <c r="B29" s="49" t="s">
        <v>76</v>
      </c>
      <c r="C29" s="122"/>
      <c r="D29" s="169">
        <v>182992</v>
      </c>
      <c r="E29" s="169">
        <v>57890</v>
      </c>
      <c r="F29" s="170">
        <v>47787.72</v>
      </c>
      <c r="G29" s="169">
        <f t="shared" si="0"/>
        <v>-10102.279999999999</v>
      </c>
      <c r="H29" s="171">
        <f t="shared" si="3"/>
        <v>82.54917947832095</v>
      </c>
      <c r="I29" s="172">
        <f t="shared" si="4"/>
        <v>-135204.28</v>
      </c>
      <c r="J29" s="172">
        <f t="shared" si="5"/>
        <v>26.11464982075719</v>
      </c>
      <c r="K29" s="173">
        <v>49236.46</v>
      </c>
      <c r="L29" s="173">
        <f t="shared" si="1"/>
        <v>-1448.739999999998</v>
      </c>
      <c r="M29" s="209">
        <f t="shared" si="2"/>
        <v>0.9705758699955277</v>
      </c>
      <c r="N29" s="193">
        <f>E29-березень!E29</f>
        <v>15055</v>
      </c>
      <c r="O29" s="177">
        <f>F29-березень!F29</f>
        <v>4469.550000000003</v>
      </c>
      <c r="P29" s="175">
        <f t="shared" si="6"/>
        <v>-10585.449999999997</v>
      </c>
      <c r="Q29" s="172">
        <f>O29/N29*100</f>
        <v>29.688143473928946</v>
      </c>
      <c r="R29" s="106">
        <v>15055</v>
      </c>
      <c r="S29" s="99">
        <f t="shared" si="8"/>
        <v>-10585.449999999997</v>
      </c>
      <c r="T29" s="106"/>
      <c r="U29" s="107"/>
    </row>
    <row r="30" spans="1:21" s="6" customFormat="1" ht="18" customHeight="1" hidden="1">
      <c r="A30" s="8"/>
      <c r="B30" s="194" t="s">
        <v>109</v>
      </c>
      <c r="C30" s="195"/>
      <c r="D30" s="196">
        <v>57533</v>
      </c>
      <c r="E30" s="196">
        <v>17430</v>
      </c>
      <c r="F30" s="161">
        <v>15398.79</v>
      </c>
      <c r="G30" s="196">
        <f t="shared" si="0"/>
        <v>-2031.2099999999991</v>
      </c>
      <c r="H30" s="197">
        <f t="shared" si="3"/>
        <v>88.34647160068847</v>
      </c>
      <c r="I30" s="198">
        <f t="shared" si="4"/>
        <v>-42134.21</v>
      </c>
      <c r="J30" s="198">
        <f t="shared" si="5"/>
        <v>26.7651434828707</v>
      </c>
      <c r="K30" s="198">
        <v>15205.9</v>
      </c>
      <c r="L30" s="198">
        <f t="shared" si="1"/>
        <v>192.89000000000124</v>
      </c>
      <c r="M30" s="226">
        <f t="shared" si="2"/>
        <v>1.0126852077154262</v>
      </c>
      <c r="N30" s="234">
        <f>E30-березень!E30</f>
        <v>4600</v>
      </c>
      <c r="O30" s="234">
        <f>F30-березень!F30</f>
        <v>963.3500000000004</v>
      </c>
      <c r="P30" s="198">
        <f t="shared" si="6"/>
        <v>-3636.6499999999996</v>
      </c>
      <c r="Q30" s="198">
        <f>O30/N30*100</f>
        <v>20.942391304347836</v>
      </c>
      <c r="R30" s="106"/>
      <c r="S30" s="99">
        <f t="shared" si="8"/>
        <v>963.3500000000004</v>
      </c>
      <c r="T30" s="106"/>
      <c r="U30" s="107"/>
    </row>
    <row r="31" spans="1:21" s="6" customFormat="1" ht="18" customHeight="1" hidden="1">
      <c r="A31" s="8"/>
      <c r="B31" s="194" t="s">
        <v>110</v>
      </c>
      <c r="C31" s="195"/>
      <c r="D31" s="196">
        <v>125459</v>
      </c>
      <c r="E31" s="196">
        <v>40460</v>
      </c>
      <c r="F31" s="161">
        <v>32388.93</v>
      </c>
      <c r="G31" s="196">
        <f t="shared" si="0"/>
        <v>-8071.07</v>
      </c>
      <c r="H31" s="197">
        <f t="shared" si="3"/>
        <v>80.05173010380624</v>
      </c>
      <c r="I31" s="198">
        <f t="shared" si="4"/>
        <v>-93070.07</v>
      </c>
      <c r="J31" s="198">
        <f t="shared" si="5"/>
        <v>25.816346376106935</v>
      </c>
      <c r="K31" s="198">
        <v>34030.56</v>
      </c>
      <c r="L31" s="198">
        <f t="shared" si="1"/>
        <v>-1641.6299999999974</v>
      </c>
      <c r="M31" s="226">
        <f t="shared" si="2"/>
        <v>0.9517601238416294</v>
      </c>
      <c r="N31" s="234">
        <f>E31-березень!E31</f>
        <v>10455</v>
      </c>
      <c r="O31" s="234">
        <f>F31-березень!F31</f>
        <v>3506.2000000000007</v>
      </c>
      <c r="P31" s="198">
        <f t="shared" si="6"/>
        <v>-6948.799999999999</v>
      </c>
      <c r="Q31" s="198">
        <f>O31/N31*100</f>
        <v>33.53610712577715</v>
      </c>
      <c r="R31" s="106"/>
      <c r="S31" s="99">
        <f t="shared" si="8"/>
        <v>3506.2000000000007</v>
      </c>
      <c r="T31" s="106"/>
      <c r="U31" s="107"/>
    </row>
    <row r="32" spans="1:21" s="6" customFormat="1" ht="18">
      <c r="A32" s="8"/>
      <c r="B32" s="223" t="s">
        <v>112</v>
      </c>
      <c r="C32" s="220">
        <v>18020000</v>
      </c>
      <c r="D32" s="160">
        <v>0</v>
      </c>
      <c r="E32" s="160">
        <v>0</v>
      </c>
      <c r="F32" s="197">
        <v>0.2</v>
      </c>
      <c r="G32" s="148">
        <f t="shared" si="0"/>
        <v>0.2</v>
      </c>
      <c r="H32" s="155"/>
      <c r="I32" s="156">
        <f t="shared" si="4"/>
        <v>0.2</v>
      </c>
      <c r="J32" s="156"/>
      <c r="K32" s="165">
        <v>0</v>
      </c>
      <c r="L32" s="156">
        <f t="shared" si="1"/>
        <v>0.2</v>
      </c>
      <c r="M32" s="208"/>
      <c r="N32" s="155">
        <f>E32-березень!E32</f>
        <v>0</v>
      </c>
      <c r="O32" s="158">
        <f>F32-березень!F32</f>
        <v>0</v>
      </c>
      <c r="P32" s="159">
        <f t="shared" si="6"/>
        <v>0</v>
      </c>
      <c r="Q32" s="156"/>
      <c r="R32" s="106"/>
      <c r="S32" s="99">
        <f t="shared" si="8"/>
        <v>0</v>
      </c>
      <c r="T32" s="106"/>
      <c r="U32" s="107"/>
    </row>
    <row r="33" spans="1:21" s="6" customFormat="1" ht="18">
      <c r="A33" s="8"/>
      <c r="B33" s="43" t="s">
        <v>82</v>
      </c>
      <c r="C33" s="113">
        <v>18030000</v>
      </c>
      <c r="D33" s="148">
        <v>115</v>
      </c>
      <c r="E33" s="148">
        <v>27</v>
      </c>
      <c r="F33" s="154">
        <v>46.9</v>
      </c>
      <c r="G33" s="148">
        <f t="shared" si="0"/>
        <v>19.9</v>
      </c>
      <c r="H33" s="155">
        <f t="shared" si="3"/>
        <v>173.7037037037037</v>
      </c>
      <c r="I33" s="156">
        <f t="shared" si="4"/>
        <v>-68.1</v>
      </c>
      <c r="J33" s="156">
        <f t="shared" si="5"/>
        <v>40.78260869565217</v>
      </c>
      <c r="K33" s="156">
        <v>32.71</v>
      </c>
      <c r="L33" s="156">
        <f t="shared" si="1"/>
        <v>14.189999999999998</v>
      </c>
      <c r="M33" s="208">
        <f>F33/K33</f>
        <v>1.433812289819627</v>
      </c>
      <c r="N33" s="155">
        <f>E33-березень!E33</f>
        <v>8</v>
      </c>
      <c r="O33" s="158">
        <f>F33-березень!F33</f>
        <v>9.699999999999996</v>
      </c>
      <c r="P33" s="159">
        <f t="shared" si="6"/>
        <v>1.6999999999999957</v>
      </c>
      <c r="Q33" s="156">
        <f>O33/N33*100</f>
        <v>121.24999999999994</v>
      </c>
      <c r="R33" s="106">
        <v>15</v>
      </c>
      <c r="S33" s="99">
        <f t="shared" si="8"/>
        <v>-5.300000000000004</v>
      </c>
      <c r="T33" s="106"/>
      <c r="U33" s="107"/>
    </row>
    <row r="34" spans="1:21" s="6" customFormat="1" ht="30.75">
      <c r="A34" s="8"/>
      <c r="B34" s="223" t="s">
        <v>83</v>
      </c>
      <c r="C34" s="113">
        <v>18040000</v>
      </c>
      <c r="D34" s="148"/>
      <c r="E34" s="148"/>
      <c r="F34" s="154">
        <v>-25.49</v>
      </c>
      <c r="G34" s="148">
        <f t="shared" si="0"/>
        <v>-25.49</v>
      </c>
      <c r="H34" s="155"/>
      <c r="I34" s="156">
        <f t="shared" si="4"/>
        <v>-25.49</v>
      </c>
      <c r="J34" s="156"/>
      <c r="K34" s="156">
        <v>-107.01</v>
      </c>
      <c r="L34" s="156">
        <f t="shared" si="1"/>
        <v>81.52000000000001</v>
      </c>
      <c r="M34" s="208">
        <f>F34/K34</f>
        <v>0.23820203719278568</v>
      </c>
      <c r="N34" s="155">
        <f>E34-березень!E34</f>
        <v>0</v>
      </c>
      <c r="O34" s="158">
        <f>F34-березень!F34</f>
        <v>-0.6699999999999982</v>
      </c>
      <c r="P34" s="159">
        <f t="shared" si="6"/>
        <v>-0.6699999999999982</v>
      </c>
      <c r="Q34" s="156"/>
      <c r="R34" s="106"/>
      <c r="S34" s="99">
        <f t="shared" si="8"/>
        <v>-0.6699999999999982</v>
      </c>
      <c r="T34" s="106"/>
      <c r="U34" s="107"/>
    </row>
    <row r="35" spans="1:21" s="6" customFormat="1" ht="18">
      <c r="A35" s="8"/>
      <c r="B35" s="43" t="s">
        <v>84</v>
      </c>
      <c r="C35" s="113">
        <v>18050000</v>
      </c>
      <c r="D35" s="160">
        <v>194394.1</v>
      </c>
      <c r="E35" s="160">
        <v>71605.7</v>
      </c>
      <c r="F35" s="161">
        <v>69448.53</v>
      </c>
      <c r="G35" s="160">
        <f t="shared" si="0"/>
        <v>-2157.1699999999983</v>
      </c>
      <c r="H35" s="162">
        <f t="shared" si="3"/>
        <v>96.98743256472599</v>
      </c>
      <c r="I35" s="163">
        <f t="shared" si="4"/>
        <v>-124945.57</v>
      </c>
      <c r="J35" s="163">
        <f t="shared" si="5"/>
        <v>35.72563673485975</v>
      </c>
      <c r="K35" s="176">
        <v>51820.56</v>
      </c>
      <c r="L35" s="176">
        <f>F35-K35</f>
        <v>17627.97</v>
      </c>
      <c r="M35" s="224">
        <f>F35/K35</f>
        <v>1.3401732825735577</v>
      </c>
      <c r="N35" s="155">
        <f>E35-березень!E35</f>
        <v>16827</v>
      </c>
      <c r="O35" s="158">
        <f>F35-березень!F35</f>
        <v>14051.909999999996</v>
      </c>
      <c r="P35" s="165">
        <f t="shared" si="6"/>
        <v>-2775.090000000004</v>
      </c>
      <c r="Q35" s="163">
        <f>O35/N35*100</f>
        <v>83.50811196291671</v>
      </c>
      <c r="R35" s="106">
        <v>16827</v>
      </c>
      <c r="S35" s="99">
        <f t="shared" si="8"/>
        <v>-2775.090000000004</v>
      </c>
      <c r="T35" s="106"/>
      <c r="U35" s="107"/>
    </row>
    <row r="36" spans="1:21" s="6" customFormat="1" ht="15" customHeight="1" hidden="1">
      <c r="A36" s="8"/>
      <c r="B36" s="49" t="s">
        <v>90</v>
      </c>
      <c r="C36" s="101">
        <v>18050200</v>
      </c>
      <c r="D36" s="102">
        <v>0</v>
      </c>
      <c r="E36" s="102">
        <v>0</v>
      </c>
      <c r="F36" s="138">
        <v>0</v>
      </c>
      <c r="G36" s="102">
        <f t="shared" si="0"/>
        <v>0</v>
      </c>
      <c r="H36" s="104"/>
      <c r="I36" s="103">
        <f t="shared" si="4"/>
        <v>0</v>
      </c>
      <c r="J36" s="103"/>
      <c r="K36" s="126">
        <v>0.18</v>
      </c>
      <c r="L36" s="126">
        <f t="shared" si="1"/>
        <v>-0.18</v>
      </c>
      <c r="M36" s="214">
        <f aca="true" t="shared" si="9" ref="M36:M42">F36/K36</f>
        <v>0</v>
      </c>
      <c r="N36" s="104">
        <f>E36-березень!E36</f>
        <v>0</v>
      </c>
      <c r="O36" s="142">
        <f>F36-березень!F36</f>
        <v>0</v>
      </c>
      <c r="P36" s="105">
        <f t="shared" si="6"/>
        <v>0</v>
      </c>
      <c r="Q36" s="103"/>
      <c r="R36" s="106"/>
      <c r="S36" s="106"/>
      <c r="T36" s="106"/>
      <c r="U36" s="107"/>
    </row>
    <row r="37" spans="1:21" s="6" customFormat="1" ht="15" customHeight="1" hidden="1">
      <c r="A37" s="8"/>
      <c r="B37" s="49" t="s">
        <v>91</v>
      </c>
      <c r="C37" s="101">
        <v>18050300</v>
      </c>
      <c r="D37" s="102">
        <v>41000</v>
      </c>
      <c r="E37" s="102">
        <v>13220</v>
      </c>
      <c r="F37" s="138">
        <v>13007.5</v>
      </c>
      <c r="G37" s="102">
        <f t="shared" si="0"/>
        <v>-212.5</v>
      </c>
      <c r="H37" s="104">
        <f t="shared" si="3"/>
        <v>98.39258698940998</v>
      </c>
      <c r="I37" s="103">
        <f t="shared" si="4"/>
        <v>-27992.5</v>
      </c>
      <c r="J37" s="103">
        <f t="shared" si="5"/>
        <v>31.725609756097562</v>
      </c>
      <c r="K37" s="126">
        <v>12484.76</v>
      </c>
      <c r="L37" s="126">
        <f t="shared" si="1"/>
        <v>522.7399999999998</v>
      </c>
      <c r="M37" s="214">
        <f t="shared" si="9"/>
        <v>1.0418702482066136</v>
      </c>
      <c r="N37" s="104">
        <f>E37-березень!E37</f>
        <v>2820</v>
      </c>
      <c r="O37" s="142">
        <f>F37-березень!F37</f>
        <v>2059.58</v>
      </c>
      <c r="P37" s="105">
        <f t="shared" si="6"/>
        <v>-760.4200000000001</v>
      </c>
      <c r="Q37" s="103">
        <f>O37/N37*100</f>
        <v>73.03475177304965</v>
      </c>
      <c r="R37" s="106"/>
      <c r="S37" s="106"/>
      <c r="T37" s="106"/>
      <c r="U37" s="107"/>
    </row>
    <row r="38" spans="1:21" s="6" customFormat="1" ht="15" customHeight="1" hidden="1">
      <c r="A38" s="8"/>
      <c r="B38" s="49" t="s">
        <v>92</v>
      </c>
      <c r="C38" s="101">
        <v>18050400</v>
      </c>
      <c r="D38" s="102">
        <v>153339.1</v>
      </c>
      <c r="E38" s="102">
        <v>58360</v>
      </c>
      <c r="F38" s="138">
        <v>56424.52</v>
      </c>
      <c r="G38" s="102">
        <f t="shared" si="0"/>
        <v>-1935.4800000000032</v>
      </c>
      <c r="H38" s="104">
        <f t="shared" si="3"/>
        <v>96.68355037697052</v>
      </c>
      <c r="I38" s="103">
        <f t="shared" si="4"/>
        <v>-96914.58000000002</v>
      </c>
      <c r="J38" s="103">
        <f t="shared" si="5"/>
        <v>36.79721610469866</v>
      </c>
      <c r="K38" s="126">
        <v>39321.61</v>
      </c>
      <c r="L38" s="126">
        <f t="shared" si="1"/>
        <v>17102.909999999996</v>
      </c>
      <c r="M38" s="214">
        <f t="shared" si="9"/>
        <v>1.434949382794855</v>
      </c>
      <c r="N38" s="104">
        <f>E38-березень!E38</f>
        <v>14000</v>
      </c>
      <c r="O38" s="142">
        <f>F38-березень!F38</f>
        <v>11991.939999999995</v>
      </c>
      <c r="P38" s="105">
        <f t="shared" si="6"/>
        <v>-2008.060000000005</v>
      </c>
      <c r="Q38" s="103">
        <f>O38/N38*100</f>
        <v>85.65671428571426</v>
      </c>
      <c r="R38" s="106"/>
      <c r="S38" s="106"/>
      <c r="T38" s="106"/>
      <c r="U38" s="107"/>
    </row>
    <row r="39" spans="1:21" s="6" customFormat="1" ht="15" customHeight="1" hidden="1">
      <c r="A39" s="8"/>
      <c r="B39" s="49" t="s">
        <v>93</v>
      </c>
      <c r="C39" s="101">
        <v>18050500</v>
      </c>
      <c r="D39" s="102">
        <v>55</v>
      </c>
      <c r="E39" s="102">
        <v>25.7</v>
      </c>
      <c r="F39" s="138">
        <v>16.52</v>
      </c>
      <c r="G39" s="102">
        <f t="shared" si="0"/>
        <v>-9.18</v>
      </c>
      <c r="H39" s="104">
        <f t="shared" si="3"/>
        <v>64.28015564202335</v>
      </c>
      <c r="I39" s="103">
        <f t="shared" si="4"/>
        <v>-38.480000000000004</v>
      </c>
      <c r="J39" s="103">
        <f t="shared" si="5"/>
        <v>30.03636363636363</v>
      </c>
      <c r="K39" s="126">
        <v>14.01</v>
      </c>
      <c r="L39" s="126">
        <f t="shared" si="1"/>
        <v>2.51</v>
      </c>
      <c r="M39" s="214">
        <f t="shared" si="9"/>
        <v>1.179157744468237</v>
      </c>
      <c r="N39" s="104">
        <f>E39-березень!E39</f>
        <v>7</v>
      </c>
      <c r="O39" s="142">
        <f>F39-березень!F39</f>
        <v>0.41000000000000014</v>
      </c>
      <c r="P39" s="105">
        <f t="shared" si="6"/>
        <v>-6.59</v>
      </c>
      <c r="Q39" s="103"/>
      <c r="R39" s="106"/>
      <c r="S39" s="106"/>
      <c r="T39" s="106"/>
      <c r="U39" s="107"/>
    </row>
    <row r="40" spans="1:21" s="6" customFormat="1" ht="15" customHeight="1" hidden="1">
      <c r="A40" s="8"/>
      <c r="B40" s="229" t="s">
        <v>46</v>
      </c>
      <c r="C40" s="42">
        <v>19010000</v>
      </c>
      <c r="D40" s="33">
        <v>0</v>
      </c>
      <c r="E40" s="33">
        <v>0</v>
      </c>
      <c r="F40" s="33">
        <v>0</v>
      </c>
      <c r="G40" s="33">
        <f t="shared" si="0"/>
        <v>0</v>
      </c>
      <c r="H40" s="29"/>
      <c r="I40" s="36">
        <f t="shared" si="4"/>
        <v>0</v>
      </c>
      <c r="J40" s="36"/>
      <c r="K40" s="118">
        <v>0</v>
      </c>
      <c r="L40" s="118">
        <f t="shared" si="1"/>
        <v>0</v>
      </c>
      <c r="M40" s="215" t="e">
        <f t="shared" si="9"/>
        <v>#DIV/0!</v>
      </c>
      <c r="N40" s="155">
        <f>E40-березень!E40</f>
        <v>0</v>
      </c>
      <c r="O40" s="158">
        <f>F40-березень!F40</f>
        <v>0</v>
      </c>
      <c r="P40" s="35">
        <f t="shared" si="6"/>
        <v>0</v>
      </c>
      <c r="Q40" s="36"/>
      <c r="R40" s="106"/>
      <c r="S40" s="106"/>
      <c r="T40" s="106"/>
      <c r="U40" s="107"/>
    </row>
    <row r="41" spans="1:21" s="6" customFormat="1" ht="17.25">
      <c r="A41" s="7"/>
      <c r="B41" s="16" t="s">
        <v>12</v>
      </c>
      <c r="C41" s="69">
        <v>20000000</v>
      </c>
      <c r="D41" s="149">
        <f>D42+D43+D44+D45+D46+D48+D50+D51+D52+D53+D54+D59+D60+D64+D47</f>
        <v>59025</v>
      </c>
      <c r="E41" s="149">
        <f>E42+E43+E44+E45+E46+E48+E50+E51+E52+E53+E54+E59+E60+E64+E47</f>
        <v>19434.5</v>
      </c>
      <c r="F41" s="149">
        <f>F42+F43+F44+F45+F46+F48+F50+F51+F52+F53+F54+F59+F60+F64+F47</f>
        <v>18934.89</v>
      </c>
      <c r="G41" s="149">
        <f>G42+G43+G44+G45+G46+G48+G50+G51+G52+G53+G54+G59+G60+G64</f>
        <v>-466.6200000000002</v>
      </c>
      <c r="H41" s="150">
        <f>F41/E41*100</f>
        <v>97.42926239419589</v>
      </c>
      <c r="I41" s="151">
        <f>F41-D41</f>
        <v>-40090.11</v>
      </c>
      <c r="J41" s="151">
        <f>F41/D41*100</f>
        <v>32.07944091486658</v>
      </c>
      <c r="K41" s="149">
        <v>16760.63</v>
      </c>
      <c r="L41" s="149">
        <f t="shared" si="1"/>
        <v>2174.2599999999984</v>
      </c>
      <c r="M41" s="203">
        <f t="shared" si="9"/>
        <v>1.1297242406759171</v>
      </c>
      <c r="N41" s="149">
        <f>N42+N43+N44+N45+N46+N48+N50+N51+N52+N53+N54+N59+N60+N64+N47</f>
        <v>5120.8</v>
      </c>
      <c r="O41" s="149">
        <f>O42+O43+O44+O45+O46+O48+O50+O51+O52+O53+O54+O59+O60+O64+O47</f>
        <v>5060.65</v>
      </c>
      <c r="P41" s="149">
        <f>P42+P43+P44+P45+P46+P48+P50+P51+P52+P53+P54+P59+P60+P64</f>
        <v>-53.850000000000364</v>
      </c>
      <c r="Q41" s="149">
        <f>O41/N41*100</f>
        <v>98.82537884705513</v>
      </c>
      <c r="R41" s="15">
        <f>R42+R43+R44+R45+R46+R47+R48+R50+R51+R52+R53+R54+R59+R60+R64</f>
        <v>5581.6</v>
      </c>
      <c r="S41" s="15">
        <f>O41-R41</f>
        <v>-520.9500000000007</v>
      </c>
      <c r="T41" s="15"/>
      <c r="U41" s="15" t="e">
        <f>#N/A</f>
        <v>#N/A</v>
      </c>
    </row>
    <row r="42" spans="1:21" s="6" customFormat="1" ht="46.5">
      <c r="A42" s="8"/>
      <c r="B42" s="43" t="s">
        <v>98</v>
      </c>
      <c r="C42" s="42">
        <v>21010301</v>
      </c>
      <c r="D42" s="148">
        <v>580</v>
      </c>
      <c r="E42" s="148">
        <v>80</v>
      </c>
      <c r="F42" s="154">
        <v>-186.82</v>
      </c>
      <c r="G42" s="160">
        <f>F42-E42</f>
        <v>-266.82</v>
      </c>
      <c r="H42" s="162">
        <f aca="true" t="shared" si="10" ref="H42:H65">F42/E42*100</f>
        <v>-233.52499999999998</v>
      </c>
      <c r="I42" s="163">
        <f>F42-D42</f>
        <v>-766.8199999999999</v>
      </c>
      <c r="J42" s="163">
        <f>F42/D42*100</f>
        <v>-32.210344827586205</v>
      </c>
      <c r="K42" s="163">
        <v>95.75</v>
      </c>
      <c r="L42" s="163">
        <f t="shared" si="1"/>
        <v>-282.57</v>
      </c>
      <c r="M42" s="216">
        <f t="shared" si="9"/>
        <v>-1.9511227154046997</v>
      </c>
      <c r="N42" s="162">
        <f>E42-березень!E42</f>
        <v>0</v>
      </c>
      <c r="O42" s="166">
        <f>F42-березень!F42</f>
        <v>0</v>
      </c>
      <c r="P42" s="165">
        <f>O42-N42</f>
        <v>0</v>
      </c>
      <c r="Q42" s="163" t="e">
        <f aca="true" t="shared" si="11" ref="Q42:Q65">O42/N42*100</f>
        <v>#DIV/0!</v>
      </c>
      <c r="R42" s="36">
        <v>0</v>
      </c>
      <c r="S42" s="36">
        <f>O42-R42</f>
        <v>0</v>
      </c>
      <c r="T42" s="36"/>
      <c r="U42" s="93"/>
    </row>
    <row r="43" spans="1:21" s="6" customFormat="1" ht="30.75">
      <c r="A43" s="8"/>
      <c r="B43" s="128" t="s">
        <v>77</v>
      </c>
      <c r="C43" s="41">
        <v>21050000</v>
      </c>
      <c r="D43" s="148">
        <v>30000</v>
      </c>
      <c r="E43" s="148">
        <v>8100</v>
      </c>
      <c r="F43" s="154">
        <v>7806.86</v>
      </c>
      <c r="G43" s="160">
        <f aca="true" t="shared" si="12" ref="G43:G66">F43-E43</f>
        <v>-293.1400000000003</v>
      </c>
      <c r="H43" s="162">
        <f t="shared" si="10"/>
        <v>96.38098765432098</v>
      </c>
      <c r="I43" s="163">
        <f aca="true" t="shared" si="13" ref="I43:I66">F43-D43</f>
        <v>-22193.14</v>
      </c>
      <c r="J43" s="163">
        <f>F43/D43*100</f>
        <v>26.022866666666665</v>
      </c>
      <c r="K43" s="163">
        <v>6753.41</v>
      </c>
      <c r="L43" s="163">
        <f t="shared" si="1"/>
        <v>1053.4499999999998</v>
      </c>
      <c r="M43" s="216"/>
      <c r="N43" s="162">
        <f>E43-березень!E43</f>
        <v>2800</v>
      </c>
      <c r="O43" s="166">
        <f>F43-березень!F43</f>
        <v>3105.0199999999995</v>
      </c>
      <c r="P43" s="165">
        <f aca="true" t="shared" si="14" ref="P43:P66">O43-N43</f>
        <v>305.0199999999995</v>
      </c>
      <c r="Q43" s="163">
        <f t="shared" si="11"/>
        <v>110.89357142857142</v>
      </c>
      <c r="R43" s="36">
        <v>3105</v>
      </c>
      <c r="S43" s="36">
        <f aca="true" t="shared" si="15" ref="S43:S66">O43-R43</f>
        <v>0.019999999999527063</v>
      </c>
      <c r="T43" s="36"/>
      <c r="U43" s="93"/>
    </row>
    <row r="44" spans="1:21" s="6" customFormat="1" ht="18">
      <c r="A44" s="8"/>
      <c r="B44" s="128" t="s">
        <v>61</v>
      </c>
      <c r="C44" s="41">
        <v>21080500</v>
      </c>
      <c r="D44" s="148">
        <v>40</v>
      </c>
      <c r="E44" s="148">
        <v>20</v>
      </c>
      <c r="F44" s="154">
        <v>82.8</v>
      </c>
      <c r="G44" s="160">
        <f t="shared" si="12"/>
        <v>62.8</v>
      </c>
      <c r="H44" s="162">
        <f>F44/E44*100</f>
        <v>413.99999999999994</v>
      </c>
      <c r="I44" s="163">
        <f t="shared" si="13"/>
        <v>42.8</v>
      </c>
      <c r="J44" s="163">
        <f aca="true" t="shared" si="16" ref="J44:J65">F44/D44*100</f>
        <v>206.99999999999997</v>
      </c>
      <c r="K44" s="163">
        <v>27.51</v>
      </c>
      <c r="L44" s="163">
        <f t="shared" si="1"/>
        <v>55.28999999999999</v>
      </c>
      <c r="M44" s="216">
        <f aca="true" t="shared" si="17" ref="M44:M66">F44/K44</f>
        <v>3.009814612868048</v>
      </c>
      <c r="N44" s="162">
        <f>E44-березень!E44</f>
        <v>1</v>
      </c>
      <c r="O44" s="166">
        <f>F44-березень!F44</f>
        <v>10.719999999999999</v>
      </c>
      <c r="P44" s="165">
        <f t="shared" si="14"/>
        <v>9.719999999999999</v>
      </c>
      <c r="Q44" s="163">
        <f t="shared" si="11"/>
        <v>1072</v>
      </c>
      <c r="R44" s="36">
        <v>1</v>
      </c>
      <c r="S44" s="36">
        <f t="shared" si="15"/>
        <v>9.719999999999999</v>
      </c>
      <c r="T44" s="36"/>
      <c r="U44" s="93"/>
    </row>
    <row r="45" spans="1:21" s="6" customFormat="1" ht="31.5">
      <c r="A45" s="8"/>
      <c r="B45" s="235" t="s">
        <v>39</v>
      </c>
      <c r="C45" s="70">
        <v>21080900</v>
      </c>
      <c r="D45" s="148">
        <f>6.5-6.5</f>
        <v>0</v>
      </c>
      <c r="E45" s="148">
        <v>0</v>
      </c>
      <c r="F45" s="154">
        <v>2.03</v>
      </c>
      <c r="G45" s="160">
        <f t="shared" si="12"/>
        <v>2.03</v>
      </c>
      <c r="H45" s="162" t="e">
        <f>F45/E45*100</f>
        <v>#DIV/0!</v>
      </c>
      <c r="I45" s="163">
        <f t="shared" si="13"/>
        <v>2.03</v>
      </c>
      <c r="J45" s="163" t="e">
        <f t="shared" si="16"/>
        <v>#DIV/0!</v>
      </c>
      <c r="K45" s="163">
        <v>0.1</v>
      </c>
      <c r="L45" s="163">
        <f t="shared" si="1"/>
        <v>1.9299999999999997</v>
      </c>
      <c r="M45" s="216">
        <f t="shared" si="17"/>
        <v>20.299999999999997</v>
      </c>
      <c r="N45" s="162">
        <f>E45-березень!E45</f>
        <v>0</v>
      </c>
      <c r="O45" s="166">
        <f>F45-березень!F45</f>
        <v>0</v>
      </c>
      <c r="P45" s="165">
        <f t="shared" si="14"/>
        <v>0</v>
      </c>
      <c r="Q45" s="163" t="e">
        <f t="shared" si="11"/>
        <v>#DIV/0!</v>
      </c>
      <c r="R45" s="36">
        <v>0</v>
      </c>
      <c r="S45" s="36">
        <f t="shared" si="15"/>
        <v>0</v>
      </c>
      <c r="T45" s="36"/>
      <c r="U45" s="93"/>
    </row>
    <row r="46" spans="1:21" s="6" customFormat="1" ht="18">
      <c r="A46" s="8"/>
      <c r="B46" s="129" t="s">
        <v>16</v>
      </c>
      <c r="C46" s="71">
        <v>21081100</v>
      </c>
      <c r="D46" s="148">
        <v>260</v>
      </c>
      <c r="E46" s="148">
        <v>84</v>
      </c>
      <c r="F46" s="154">
        <v>350.23</v>
      </c>
      <c r="G46" s="160">
        <f t="shared" si="12"/>
        <v>266.23</v>
      </c>
      <c r="H46" s="162">
        <f t="shared" si="10"/>
        <v>416.94047619047626</v>
      </c>
      <c r="I46" s="163">
        <f t="shared" si="13"/>
        <v>90.23000000000002</v>
      </c>
      <c r="J46" s="163">
        <f t="shared" si="16"/>
        <v>134.70384615384617</v>
      </c>
      <c r="K46" s="163">
        <v>34.2</v>
      </c>
      <c r="L46" s="163">
        <f t="shared" si="1"/>
        <v>316.03000000000003</v>
      </c>
      <c r="M46" s="216">
        <f t="shared" si="17"/>
        <v>10.2406432748538</v>
      </c>
      <c r="N46" s="162">
        <f>E46-березень!E46</f>
        <v>22</v>
      </c>
      <c r="O46" s="166">
        <f>F46-березень!F46</f>
        <v>72.47000000000003</v>
      </c>
      <c r="P46" s="165">
        <f t="shared" si="14"/>
        <v>50.47000000000003</v>
      </c>
      <c r="Q46" s="163">
        <f t="shared" si="11"/>
        <v>329.40909090909105</v>
      </c>
      <c r="R46" s="36">
        <v>22</v>
      </c>
      <c r="S46" s="36">
        <f t="shared" si="15"/>
        <v>50.47000000000003</v>
      </c>
      <c r="T46" s="36"/>
      <c r="U46" s="93"/>
    </row>
    <row r="47" spans="1:21" s="6" customFormat="1" ht="46.5">
      <c r="A47" s="8"/>
      <c r="B47" s="129" t="s">
        <v>80</v>
      </c>
      <c r="C47" s="71">
        <v>21081500</v>
      </c>
      <c r="D47" s="148">
        <v>97.5</v>
      </c>
      <c r="E47" s="148">
        <v>34</v>
      </c>
      <c r="F47" s="154">
        <v>1.01</v>
      </c>
      <c r="G47" s="160">
        <f t="shared" si="12"/>
        <v>-32.99</v>
      </c>
      <c r="H47" s="162">
        <f t="shared" si="10"/>
        <v>2.9705882352941178</v>
      </c>
      <c r="I47" s="163">
        <f t="shared" si="13"/>
        <v>-96.49</v>
      </c>
      <c r="J47" s="163">
        <f t="shared" si="16"/>
        <v>1.035897435897436</v>
      </c>
      <c r="K47" s="163">
        <v>6.8</v>
      </c>
      <c r="L47" s="163">
        <f t="shared" si="1"/>
        <v>-5.79</v>
      </c>
      <c r="M47" s="216"/>
      <c r="N47" s="162">
        <f>E47-березень!E47</f>
        <v>6.800000000000001</v>
      </c>
      <c r="O47" s="166">
        <f>F47-березень!F47</f>
        <v>0.5</v>
      </c>
      <c r="P47" s="165">
        <f t="shared" si="14"/>
        <v>-6.300000000000001</v>
      </c>
      <c r="Q47" s="163">
        <f t="shared" si="11"/>
        <v>7.352941176470587</v>
      </c>
      <c r="R47" s="36">
        <v>0</v>
      </c>
      <c r="S47" s="36">
        <f t="shared" si="15"/>
        <v>0.5</v>
      </c>
      <c r="T47" s="36"/>
      <c r="U47" s="93"/>
    </row>
    <row r="48" spans="1:21" s="6" customFormat="1" ht="30.75">
      <c r="A48" s="8"/>
      <c r="B48" s="146" t="s">
        <v>103</v>
      </c>
      <c r="C48" s="48">
        <v>22010300</v>
      </c>
      <c r="D48" s="148">
        <v>730</v>
      </c>
      <c r="E48" s="148">
        <v>340</v>
      </c>
      <c r="F48" s="154">
        <v>366.79</v>
      </c>
      <c r="G48" s="160">
        <f t="shared" si="12"/>
        <v>26.79000000000002</v>
      </c>
      <c r="H48" s="162">
        <f t="shared" si="10"/>
        <v>107.87941176470588</v>
      </c>
      <c r="I48" s="163">
        <f t="shared" si="13"/>
        <v>-363.21</v>
      </c>
      <c r="J48" s="163">
        <f t="shared" si="16"/>
        <v>50.24520547945206</v>
      </c>
      <c r="K48" s="163">
        <v>0</v>
      </c>
      <c r="L48" s="163">
        <f t="shared" si="1"/>
        <v>366.79</v>
      </c>
      <c r="M48" s="216"/>
      <c r="N48" s="162">
        <f>E48-березень!E48</f>
        <v>60</v>
      </c>
      <c r="O48" s="166">
        <f>F48-березень!F48</f>
        <v>65.84000000000003</v>
      </c>
      <c r="P48" s="165">
        <f t="shared" si="14"/>
        <v>5.840000000000032</v>
      </c>
      <c r="Q48" s="163">
        <f t="shared" si="11"/>
        <v>109.73333333333339</v>
      </c>
      <c r="R48" s="36">
        <v>100</v>
      </c>
      <c r="S48" s="36">
        <f t="shared" si="15"/>
        <v>-34.15999999999997</v>
      </c>
      <c r="T48" s="36"/>
      <c r="U48" s="93"/>
    </row>
    <row r="49" spans="1:21" s="6" customFormat="1" ht="18" hidden="1">
      <c r="A49" s="8"/>
      <c r="B49" s="129"/>
      <c r="C49" s="48"/>
      <c r="D49" s="148"/>
      <c r="E49" s="148"/>
      <c r="F49" s="154"/>
      <c r="G49" s="160"/>
      <c r="H49" s="162"/>
      <c r="I49" s="163"/>
      <c r="J49" s="163"/>
      <c r="K49" s="163"/>
      <c r="L49" s="163">
        <f t="shared" si="1"/>
        <v>0</v>
      </c>
      <c r="M49" s="216" t="e">
        <f t="shared" si="17"/>
        <v>#DIV/0!</v>
      </c>
      <c r="N49" s="162">
        <f>E49-березень!E49</f>
        <v>0</v>
      </c>
      <c r="O49" s="166">
        <f>F49-березень!F49</f>
        <v>0</v>
      </c>
      <c r="P49" s="165"/>
      <c r="Q49" s="163"/>
      <c r="R49" s="36"/>
      <c r="S49" s="36">
        <f t="shared" si="15"/>
        <v>0</v>
      </c>
      <c r="T49" s="36"/>
      <c r="U49" s="93"/>
    </row>
    <row r="50" spans="1:21" s="6" customFormat="1" ht="18">
      <c r="A50" s="8"/>
      <c r="B50" s="32" t="s">
        <v>78</v>
      </c>
      <c r="C50" s="71">
        <v>22012500</v>
      </c>
      <c r="D50" s="148">
        <v>11000</v>
      </c>
      <c r="E50" s="148">
        <v>4240</v>
      </c>
      <c r="F50" s="154">
        <v>4385.71</v>
      </c>
      <c r="G50" s="160">
        <f t="shared" si="12"/>
        <v>145.71000000000004</v>
      </c>
      <c r="H50" s="162">
        <f t="shared" si="10"/>
        <v>103.43655660377358</v>
      </c>
      <c r="I50" s="163">
        <f t="shared" si="13"/>
        <v>-6614.29</v>
      </c>
      <c r="J50" s="163">
        <f t="shared" si="16"/>
        <v>39.87009090909091</v>
      </c>
      <c r="K50" s="163">
        <v>3201.41</v>
      </c>
      <c r="L50" s="163">
        <f t="shared" si="1"/>
        <v>1184.3000000000002</v>
      </c>
      <c r="M50" s="216">
        <f t="shared" si="17"/>
        <v>1.3699307492636057</v>
      </c>
      <c r="N50" s="162">
        <f>E50-березень!E50</f>
        <v>900</v>
      </c>
      <c r="O50" s="166">
        <f>F50-березень!F50</f>
        <v>800.77</v>
      </c>
      <c r="P50" s="165">
        <f t="shared" si="14"/>
        <v>-99.23000000000002</v>
      </c>
      <c r="Q50" s="163">
        <f t="shared" si="11"/>
        <v>88.97444444444444</v>
      </c>
      <c r="R50" s="36">
        <v>1200</v>
      </c>
      <c r="S50" s="36">
        <f t="shared" si="15"/>
        <v>-399.23</v>
      </c>
      <c r="T50" s="36"/>
      <c r="U50" s="93"/>
    </row>
    <row r="51" spans="1:21" s="6" customFormat="1" ht="31.5">
      <c r="A51" s="8"/>
      <c r="B51" s="147" t="s">
        <v>99</v>
      </c>
      <c r="C51" s="71">
        <v>22012600</v>
      </c>
      <c r="D51" s="148">
        <v>310</v>
      </c>
      <c r="E51" s="148">
        <v>100</v>
      </c>
      <c r="F51" s="154">
        <v>165.95</v>
      </c>
      <c r="G51" s="160">
        <f t="shared" si="12"/>
        <v>65.94999999999999</v>
      </c>
      <c r="H51" s="162">
        <f t="shared" si="10"/>
        <v>165.95</v>
      </c>
      <c r="I51" s="163">
        <f t="shared" si="13"/>
        <v>-144.05</v>
      </c>
      <c r="J51" s="163">
        <f t="shared" si="16"/>
        <v>53.53225806451613</v>
      </c>
      <c r="K51" s="163">
        <v>1.37</v>
      </c>
      <c r="L51" s="163">
        <f t="shared" si="1"/>
        <v>164.57999999999998</v>
      </c>
      <c r="M51" s="216"/>
      <c r="N51" s="162">
        <f>E51-березень!E51</f>
        <v>25</v>
      </c>
      <c r="O51" s="166">
        <f>F51-березень!F51</f>
        <v>30.75</v>
      </c>
      <c r="P51" s="165">
        <f t="shared" si="14"/>
        <v>5.75</v>
      </c>
      <c r="Q51" s="163">
        <f t="shared" si="11"/>
        <v>123</v>
      </c>
      <c r="R51" s="36">
        <v>45</v>
      </c>
      <c r="S51" s="36">
        <f t="shared" si="15"/>
        <v>-14.25</v>
      </c>
      <c r="T51" s="36"/>
      <c r="U51" s="93"/>
    </row>
    <row r="52" spans="1:21" s="6" customFormat="1" ht="31.5">
      <c r="A52" s="8"/>
      <c r="B52" s="147" t="s">
        <v>104</v>
      </c>
      <c r="C52" s="71">
        <v>22012900</v>
      </c>
      <c r="D52" s="148">
        <v>20</v>
      </c>
      <c r="E52" s="148">
        <v>4</v>
      </c>
      <c r="F52" s="154">
        <v>10.4</v>
      </c>
      <c r="G52" s="160">
        <f t="shared" si="12"/>
        <v>6.4</v>
      </c>
      <c r="H52" s="162">
        <f t="shared" si="10"/>
        <v>260</v>
      </c>
      <c r="I52" s="163">
        <f t="shared" si="13"/>
        <v>-9.6</v>
      </c>
      <c r="J52" s="163">
        <f t="shared" si="16"/>
        <v>52</v>
      </c>
      <c r="K52" s="163">
        <v>0</v>
      </c>
      <c r="L52" s="163">
        <f t="shared" si="1"/>
        <v>10.4</v>
      </c>
      <c r="M52" s="216"/>
      <c r="N52" s="162">
        <f>E52-березень!E52</f>
        <v>1</v>
      </c>
      <c r="O52" s="166">
        <f>F52-березень!F52</f>
        <v>6.4</v>
      </c>
      <c r="P52" s="165">
        <f t="shared" si="14"/>
        <v>5.4</v>
      </c>
      <c r="Q52" s="163">
        <f t="shared" si="11"/>
        <v>640</v>
      </c>
      <c r="R52" s="36">
        <v>1</v>
      </c>
      <c r="S52" s="36">
        <f t="shared" si="15"/>
        <v>5.4</v>
      </c>
      <c r="T52" s="36"/>
      <c r="U52" s="93"/>
    </row>
    <row r="53" spans="1:21" s="6" customFormat="1" ht="30.75">
      <c r="A53" s="8"/>
      <c r="B53" s="129" t="s">
        <v>14</v>
      </c>
      <c r="C53" s="48">
        <v>22080400</v>
      </c>
      <c r="D53" s="148">
        <v>7275</v>
      </c>
      <c r="E53" s="148">
        <v>2430</v>
      </c>
      <c r="F53" s="154">
        <v>2187.7</v>
      </c>
      <c r="G53" s="160">
        <f t="shared" si="12"/>
        <v>-242.30000000000018</v>
      </c>
      <c r="H53" s="162">
        <f t="shared" si="10"/>
        <v>90.02880658436213</v>
      </c>
      <c r="I53" s="163">
        <f t="shared" si="13"/>
        <v>-5087.3</v>
      </c>
      <c r="J53" s="163">
        <f t="shared" si="16"/>
        <v>30.07147766323024</v>
      </c>
      <c r="K53" s="163">
        <v>2631.35</v>
      </c>
      <c r="L53" s="163">
        <f t="shared" si="1"/>
        <v>-443.6500000000001</v>
      </c>
      <c r="M53" s="216">
        <f t="shared" si="17"/>
        <v>0.8313983316548539</v>
      </c>
      <c r="N53" s="162">
        <f>E53-березень!E53</f>
        <v>610</v>
      </c>
      <c r="O53" s="166">
        <f>F53-березень!F53</f>
        <v>562.6099999999999</v>
      </c>
      <c r="P53" s="165">
        <f t="shared" si="14"/>
        <v>-47.3900000000001</v>
      </c>
      <c r="Q53" s="163">
        <f t="shared" si="11"/>
        <v>92.2311475409836</v>
      </c>
      <c r="R53" s="36">
        <v>562.6</v>
      </c>
      <c r="S53" s="36">
        <f t="shared" si="15"/>
        <v>0.009999999999877218</v>
      </c>
      <c r="T53" s="36"/>
      <c r="U53" s="93"/>
    </row>
    <row r="54" spans="1:21" s="6" customFormat="1" ht="19.5" customHeight="1">
      <c r="A54" s="8"/>
      <c r="B54" s="129" t="s">
        <v>15</v>
      </c>
      <c r="C54" s="42">
        <v>22090000</v>
      </c>
      <c r="D54" s="148">
        <v>1200</v>
      </c>
      <c r="E54" s="148">
        <v>330</v>
      </c>
      <c r="F54" s="154">
        <v>276.23</v>
      </c>
      <c r="G54" s="160">
        <f t="shared" si="12"/>
        <v>-53.76999999999998</v>
      </c>
      <c r="H54" s="162">
        <f t="shared" si="10"/>
        <v>83.7060606060606</v>
      </c>
      <c r="I54" s="163">
        <f t="shared" si="13"/>
        <v>-923.77</v>
      </c>
      <c r="J54" s="163">
        <f t="shared" si="16"/>
        <v>23.019166666666667</v>
      </c>
      <c r="K54" s="163">
        <v>1998.74</v>
      </c>
      <c r="L54" s="163">
        <f t="shared" si="1"/>
        <v>-1722.51</v>
      </c>
      <c r="M54" s="216">
        <f t="shared" si="17"/>
        <v>0.13820206730240053</v>
      </c>
      <c r="N54" s="162">
        <f>E54-березень!E54</f>
        <v>95</v>
      </c>
      <c r="O54" s="166">
        <f>F54-березень!F54</f>
        <v>30.230000000000018</v>
      </c>
      <c r="P54" s="165">
        <f t="shared" si="14"/>
        <v>-64.76999999999998</v>
      </c>
      <c r="Q54" s="163">
        <f t="shared" si="11"/>
        <v>31.821052631578965</v>
      </c>
      <c r="R54" s="36">
        <v>95</v>
      </c>
      <c r="S54" s="36">
        <f t="shared" si="15"/>
        <v>-64.76999999999998</v>
      </c>
      <c r="T54" s="36"/>
      <c r="U54" s="93"/>
    </row>
    <row r="55" spans="1:21" s="6" customFormat="1" ht="15" hidden="1">
      <c r="A55" s="8"/>
      <c r="B55" s="49" t="s">
        <v>97</v>
      </c>
      <c r="C55" s="122">
        <v>22090100</v>
      </c>
      <c r="D55" s="102">
        <v>998</v>
      </c>
      <c r="E55" s="102">
        <v>270</v>
      </c>
      <c r="F55" s="138">
        <v>244.99</v>
      </c>
      <c r="G55" s="33">
        <f t="shared" si="12"/>
        <v>-25.00999999999999</v>
      </c>
      <c r="H55" s="29">
        <f t="shared" si="10"/>
        <v>90.73703703703704</v>
      </c>
      <c r="I55" s="103">
        <f t="shared" si="13"/>
        <v>-753.01</v>
      </c>
      <c r="J55" s="103">
        <f t="shared" si="16"/>
        <v>24.548096192384772</v>
      </c>
      <c r="K55" s="103">
        <v>235.42</v>
      </c>
      <c r="L55" s="103">
        <f>F55-K55</f>
        <v>9.570000000000022</v>
      </c>
      <c r="M55" s="108">
        <f t="shared" si="17"/>
        <v>1.0406507518477615</v>
      </c>
      <c r="N55" s="104">
        <f>E55-березень!E55</f>
        <v>80</v>
      </c>
      <c r="O55" s="142">
        <f>F55-березень!F55</f>
        <v>24.05000000000001</v>
      </c>
      <c r="P55" s="105">
        <f t="shared" si="14"/>
        <v>-55.94999999999999</v>
      </c>
      <c r="Q55" s="118">
        <f t="shared" si="11"/>
        <v>30.062500000000014</v>
      </c>
      <c r="R55" s="36"/>
      <c r="S55" s="36">
        <f t="shared" si="15"/>
        <v>24.05000000000001</v>
      </c>
      <c r="T55" s="36"/>
      <c r="U55" s="93"/>
    </row>
    <row r="56" spans="1:21" s="6" customFormat="1" ht="15" hidden="1">
      <c r="A56" s="8"/>
      <c r="B56" s="49" t="s">
        <v>94</v>
      </c>
      <c r="C56" s="122">
        <v>22090200</v>
      </c>
      <c r="D56" s="102">
        <v>1</v>
      </c>
      <c r="E56" s="102">
        <v>0</v>
      </c>
      <c r="F56" s="138">
        <v>0.12</v>
      </c>
      <c r="G56" s="33">
        <f t="shared" si="12"/>
        <v>0.12</v>
      </c>
      <c r="H56" s="29" t="e">
        <f t="shared" si="10"/>
        <v>#DIV/0!</v>
      </c>
      <c r="I56" s="103">
        <f t="shared" si="13"/>
        <v>-0.88</v>
      </c>
      <c r="J56" s="103">
        <f t="shared" si="16"/>
        <v>12</v>
      </c>
      <c r="K56" s="103">
        <v>0.15</v>
      </c>
      <c r="L56" s="103">
        <f>F56-K56</f>
        <v>-0.03</v>
      </c>
      <c r="M56" s="108">
        <f t="shared" si="17"/>
        <v>0.8</v>
      </c>
      <c r="N56" s="104">
        <f>E56-березень!E56</f>
        <v>0</v>
      </c>
      <c r="O56" s="142">
        <f>F56-березень!F56</f>
        <v>0.01999999999999999</v>
      </c>
      <c r="P56" s="105">
        <f t="shared" si="14"/>
        <v>0.01999999999999999</v>
      </c>
      <c r="Q56" s="118" t="e">
        <f t="shared" si="11"/>
        <v>#DIV/0!</v>
      </c>
      <c r="R56" s="36"/>
      <c r="S56" s="36">
        <f t="shared" si="15"/>
        <v>0.01999999999999999</v>
      </c>
      <c r="T56" s="36"/>
      <c r="U56" s="93"/>
    </row>
    <row r="57" spans="1:21" s="6" customFormat="1" ht="15" hidden="1">
      <c r="A57" s="8"/>
      <c r="B57" s="49" t="s">
        <v>95</v>
      </c>
      <c r="C57" s="122">
        <v>22090300</v>
      </c>
      <c r="D57" s="102">
        <v>1</v>
      </c>
      <c r="E57" s="102">
        <v>0</v>
      </c>
      <c r="F57" s="138">
        <v>0</v>
      </c>
      <c r="G57" s="33">
        <f t="shared" si="12"/>
        <v>0</v>
      </c>
      <c r="H57" s="29"/>
      <c r="I57" s="103">
        <f t="shared" si="13"/>
        <v>-1</v>
      </c>
      <c r="J57" s="103">
        <f t="shared" si="16"/>
        <v>0</v>
      </c>
      <c r="K57" s="103">
        <v>0</v>
      </c>
      <c r="L57" s="103">
        <f>F57-K57</f>
        <v>0</v>
      </c>
      <c r="M57" s="108" t="e">
        <f t="shared" si="17"/>
        <v>#DIV/0!</v>
      </c>
      <c r="N57" s="104">
        <f>E57-березень!E57</f>
        <v>0</v>
      </c>
      <c r="O57" s="142">
        <f>F57-березень!F57</f>
        <v>0</v>
      </c>
      <c r="P57" s="105">
        <f t="shared" si="14"/>
        <v>0</v>
      </c>
      <c r="Q57" s="118"/>
      <c r="R57" s="36"/>
      <c r="S57" s="36">
        <f t="shared" si="15"/>
        <v>0</v>
      </c>
      <c r="T57" s="36"/>
      <c r="U57" s="93"/>
    </row>
    <row r="58" spans="1:21" s="6" customFormat="1" ht="15" hidden="1">
      <c r="A58" s="8"/>
      <c r="B58" s="49" t="s">
        <v>96</v>
      </c>
      <c r="C58" s="122">
        <v>22090400</v>
      </c>
      <c r="D58" s="102">
        <v>200</v>
      </c>
      <c r="E58" s="102">
        <v>60</v>
      </c>
      <c r="F58" s="138">
        <v>31.12</v>
      </c>
      <c r="G58" s="33">
        <f t="shared" si="12"/>
        <v>-28.88</v>
      </c>
      <c r="H58" s="29">
        <f t="shared" si="10"/>
        <v>51.866666666666674</v>
      </c>
      <c r="I58" s="103">
        <f t="shared" si="13"/>
        <v>-168.88</v>
      </c>
      <c r="J58" s="103">
        <f t="shared" si="16"/>
        <v>15.560000000000002</v>
      </c>
      <c r="K58" s="103">
        <v>1763.16</v>
      </c>
      <c r="L58" s="103">
        <f>F58-K58</f>
        <v>-1732.0400000000002</v>
      </c>
      <c r="M58" s="108">
        <f t="shared" si="17"/>
        <v>0.017650128178951428</v>
      </c>
      <c r="N58" s="104">
        <f>E58-березень!E58</f>
        <v>15</v>
      </c>
      <c r="O58" s="142">
        <f>F58-березень!F58</f>
        <v>6.16</v>
      </c>
      <c r="P58" s="105">
        <f t="shared" si="14"/>
        <v>-8.84</v>
      </c>
      <c r="Q58" s="118">
        <f t="shared" si="11"/>
        <v>41.06666666666667</v>
      </c>
      <c r="R58" s="36"/>
      <c r="S58" s="36">
        <f t="shared" si="15"/>
        <v>6.16</v>
      </c>
      <c r="T58" s="36"/>
      <c r="U58" s="93"/>
    </row>
    <row r="59" spans="1:21" s="6" customFormat="1" ht="46.5">
      <c r="A59" s="8"/>
      <c r="B59" s="13" t="s">
        <v>17</v>
      </c>
      <c r="C59" s="11" t="s">
        <v>18</v>
      </c>
      <c r="D59" s="148">
        <v>2.5</v>
      </c>
      <c r="E59" s="148">
        <v>2.5</v>
      </c>
      <c r="F59" s="154">
        <v>2.04</v>
      </c>
      <c r="G59" s="160">
        <f t="shared" si="12"/>
        <v>-0.45999999999999996</v>
      </c>
      <c r="H59" s="162"/>
      <c r="I59" s="163">
        <f t="shared" si="13"/>
        <v>-0.45999999999999996</v>
      </c>
      <c r="J59" s="163">
        <f t="shared" si="16"/>
        <v>81.60000000000001</v>
      </c>
      <c r="K59" s="163">
        <v>2.46</v>
      </c>
      <c r="L59" s="163">
        <f>F59-K59</f>
        <v>-0.41999999999999993</v>
      </c>
      <c r="M59" s="216">
        <f t="shared" si="17"/>
        <v>0.8292682926829269</v>
      </c>
      <c r="N59" s="162">
        <f>E59-березень!E59</f>
        <v>0</v>
      </c>
      <c r="O59" s="166">
        <f>F59-березень!F59</f>
        <v>0</v>
      </c>
      <c r="P59" s="165">
        <f t="shared" si="14"/>
        <v>0</v>
      </c>
      <c r="Q59" s="163"/>
      <c r="R59" s="36">
        <v>0</v>
      </c>
      <c r="S59" s="36">
        <f t="shared" si="15"/>
        <v>0</v>
      </c>
      <c r="T59" s="36"/>
      <c r="U59" s="93"/>
    </row>
    <row r="60" spans="1:21" s="6" customFormat="1" ht="15.75" customHeight="1">
      <c r="A60" s="8"/>
      <c r="B60" s="130" t="s">
        <v>13</v>
      </c>
      <c r="C60" s="11" t="s">
        <v>19</v>
      </c>
      <c r="D60" s="148">
        <v>7350</v>
      </c>
      <c r="E60" s="148">
        <v>3660</v>
      </c>
      <c r="F60" s="154">
        <v>3429.32</v>
      </c>
      <c r="G60" s="160">
        <f t="shared" si="12"/>
        <v>-230.67999999999984</v>
      </c>
      <c r="H60" s="162">
        <f t="shared" si="10"/>
        <v>93.69726775956283</v>
      </c>
      <c r="I60" s="163">
        <f t="shared" si="13"/>
        <v>-3920.68</v>
      </c>
      <c r="J60" s="163">
        <f t="shared" si="16"/>
        <v>46.6574149659864</v>
      </c>
      <c r="K60" s="163">
        <v>1974.46</v>
      </c>
      <c r="L60" s="163">
        <f aca="true" t="shared" si="18" ref="L60:L66">F60-K60</f>
        <v>1454.8600000000001</v>
      </c>
      <c r="M60" s="216">
        <f t="shared" si="17"/>
        <v>1.7368394396442572</v>
      </c>
      <c r="N60" s="162">
        <f>E60-березень!E60</f>
        <v>600</v>
      </c>
      <c r="O60" s="166">
        <f>F60-березень!F60</f>
        <v>353.59000000000015</v>
      </c>
      <c r="P60" s="165">
        <f t="shared" si="14"/>
        <v>-246.40999999999985</v>
      </c>
      <c r="Q60" s="163">
        <f t="shared" si="11"/>
        <v>58.93166666666669</v>
      </c>
      <c r="R60" s="36">
        <v>450</v>
      </c>
      <c r="S60" s="36">
        <f t="shared" si="15"/>
        <v>-96.40999999999985</v>
      </c>
      <c r="T60" s="36"/>
      <c r="U60" s="93"/>
    </row>
    <row r="61" spans="1:21" s="6" customFormat="1" ht="18" hidden="1">
      <c r="A61" s="8"/>
      <c r="B61" s="12" t="s">
        <v>22</v>
      </c>
      <c r="C61" s="60" t="s">
        <v>23</v>
      </c>
      <c r="D61" s="30">
        <v>0</v>
      </c>
      <c r="E61" s="30">
        <v>0</v>
      </c>
      <c r="F61" s="137">
        <v>0</v>
      </c>
      <c r="G61" s="160">
        <f t="shared" si="12"/>
        <v>0</v>
      </c>
      <c r="H61" s="162" t="e">
        <f t="shared" si="10"/>
        <v>#DIV/0!</v>
      </c>
      <c r="I61" s="163">
        <f t="shared" si="13"/>
        <v>0</v>
      </c>
      <c r="J61" s="163" t="e">
        <f t="shared" si="16"/>
        <v>#DIV/0!</v>
      </c>
      <c r="K61" s="163"/>
      <c r="L61" s="163">
        <f t="shared" si="18"/>
        <v>0</v>
      </c>
      <c r="M61" s="216" t="e">
        <f t="shared" si="17"/>
        <v>#DIV/0!</v>
      </c>
      <c r="N61" s="162">
        <f>E61-березень!E61</f>
        <v>0</v>
      </c>
      <c r="O61" s="166">
        <f>F61-лютий!F58</f>
        <v>0</v>
      </c>
      <c r="P61" s="165">
        <f t="shared" si="14"/>
        <v>0</v>
      </c>
      <c r="Q61" s="163" t="e">
        <f t="shared" si="11"/>
        <v>#DIV/0!</v>
      </c>
      <c r="R61" s="36"/>
      <c r="S61" s="36">
        <f t="shared" si="15"/>
        <v>0</v>
      </c>
      <c r="T61" s="36"/>
      <c r="U61" s="93"/>
    </row>
    <row r="62" spans="1:21" s="6" customFormat="1" ht="30.75">
      <c r="A62" s="8"/>
      <c r="B62" s="49" t="s">
        <v>42</v>
      </c>
      <c r="C62" s="60"/>
      <c r="D62" s="102"/>
      <c r="E62" s="102"/>
      <c r="F62" s="199">
        <v>599.49</v>
      </c>
      <c r="G62" s="160"/>
      <c r="H62" s="162"/>
      <c r="I62" s="163"/>
      <c r="J62" s="163"/>
      <c r="K62" s="164">
        <v>387.1</v>
      </c>
      <c r="L62" s="163">
        <f t="shared" si="18"/>
        <v>212.39</v>
      </c>
      <c r="M62" s="216">
        <f t="shared" si="17"/>
        <v>1.5486695944200464</v>
      </c>
      <c r="N62" s="193"/>
      <c r="O62" s="177">
        <f>F62-березень!F62</f>
        <v>171.76</v>
      </c>
      <c r="P62" s="164"/>
      <c r="Q62" s="163"/>
      <c r="R62" s="36"/>
      <c r="S62" s="36">
        <f t="shared" si="15"/>
        <v>171.76</v>
      </c>
      <c r="T62" s="36"/>
      <c r="U62" s="93"/>
    </row>
    <row r="63" spans="1:21" s="6" customFormat="1" ht="18" hidden="1">
      <c r="A63" s="8"/>
      <c r="B63" s="130" t="s">
        <v>20</v>
      </c>
      <c r="C63" s="127" t="s">
        <v>21</v>
      </c>
      <c r="D63" s="33">
        <v>0</v>
      </c>
      <c r="E63" s="33">
        <v>0</v>
      </c>
      <c r="F63" s="139">
        <v>0</v>
      </c>
      <c r="G63" s="160">
        <f t="shared" si="12"/>
        <v>0</v>
      </c>
      <c r="H63" s="162"/>
      <c r="I63" s="163">
        <f t="shared" si="13"/>
        <v>0</v>
      </c>
      <c r="J63" s="163"/>
      <c r="K63" s="164"/>
      <c r="L63" s="163">
        <f t="shared" si="18"/>
        <v>0</v>
      </c>
      <c r="M63" s="216" t="e">
        <f t="shared" si="17"/>
        <v>#DIV/0!</v>
      </c>
      <c r="N63" s="162">
        <f>E63-лютий!E60</f>
        <v>0</v>
      </c>
      <c r="O63" s="166">
        <f>F63-лютий!F60</f>
        <v>0</v>
      </c>
      <c r="P63" s="165">
        <f t="shared" si="14"/>
        <v>0</v>
      </c>
      <c r="Q63" s="163"/>
      <c r="R63" s="36"/>
      <c r="S63" s="36">
        <f t="shared" si="15"/>
        <v>0</v>
      </c>
      <c r="T63" s="36"/>
      <c r="U63" s="93"/>
    </row>
    <row r="64" spans="1:21" s="6" customFormat="1" ht="44.25" customHeight="1">
      <c r="A64" s="8"/>
      <c r="B64" s="130" t="s">
        <v>43</v>
      </c>
      <c r="C64" s="42">
        <v>24061900</v>
      </c>
      <c r="D64" s="148">
        <v>160</v>
      </c>
      <c r="E64" s="148">
        <v>10</v>
      </c>
      <c r="F64" s="154">
        <v>54.64</v>
      </c>
      <c r="G64" s="160">
        <f t="shared" si="12"/>
        <v>44.64</v>
      </c>
      <c r="H64" s="162">
        <f t="shared" si="10"/>
        <v>546.4000000000001</v>
      </c>
      <c r="I64" s="163">
        <f t="shared" si="13"/>
        <v>-105.36</v>
      </c>
      <c r="J64" s="163">
        <f t="shared" si="16"/>
        <v>34.150000000000006</v>
      </c>
      <c r="K64" s="163">
        <v>33.09</v>
      </c>
      <c r="L64" s="163">
        <f t="shared" si="18"/>
        <v>21.549999999999997</v>
      </c>
      <c r="M64" s="216">
        <f t="shared" si="17"/>
        <v>1.6512541553339375</v>
      </c>
      <c r="N64" s="162">
        <f>E64-березень!E64</f>
        <v>0</v>
      </c>
      <c r="O64" s="166">
        <f>F64-березень!F64</f>
        <v>21.75</v>
      </c>
      <c r="P64" s="165">
        <f t="shared" si="14"/>
        <v>21.75</v>
      </c>
      <c r="Q64" s="163"/>
      <c r="R64" s="36">
        <v>0</v>
      </c>
      <c r="S64" s="36">
        <f t="shared" si="15"/>
        <v>21.75</v>
      </c>
      <c r="T64" s="36"/>
      <c r="U64" s="93"/>
    </row>
    <row r="65" spans="1:21" s="6" customFormat="1" ht="30.75">
      <c r="A65" s="8"/>
      <c r="B65" s="12" t="s">
        <v>44</v>
      </c>
      <c r="C65" s="42">
        <v>31010200</v>
      </c>
      <c r="D65" s="148">
        <v>15</v>
      </c>
      <c r="E65" s="148">
        <v>5.1</v>
      </c>
      <c r="F65" s="154">
        <v>14.99</v>
      </c>
      <c r="G65" s="160">
        <f t="shared" si="12"/>
        <v>9.89</v>
      </c>
      <c r="H65" s="162">
        <f t="shared" si="10"/>
        <v>293.921568627451</v>
      </c>
      <c r="I65" s="163">
        <f t="shared" si="13"/>
        <v>-0.009999999999999787</v>
      </c>
      <c r="J65" s="163">
        <f t="shared" si="16"/>
        <v>99.93333333333332</v>
      </c>
      <c r="K65" s="163">
        <v>13.52</v>
      </c>
      <c r="L65" s="163">
        <f t="shared" si="18"/>
        <v>1.4700000000000006</v>
      </c>
      <c r="M65" s="216">
        <f t="shared" si="17"/>
        <v>1.1087278106508875</v>
      </c>
      <c r="N65" s="162">
        <f>E65-березень!E65</f>
        <v>1.3999999999999995</v>
      </c>
      <c r="O65" s="166">
        <f>F65-березень!F65</f>
        <v>0.7200000000000006</v>
      </c>
      <c r="P65" s="165">
        <f t="shared" si="14"/>
        <v>-0.6799999999999988</v>
      </c>
      <c r="Q65" s="163">
        <f t="shared" si="11"/>
        <v>51.42857142857149</v>
      </c>
      <c r="R65" s="36">
        <v>3.2</v>
      </c>
      <c r="S65" s="36">
        <f t="shared" si="15"/>
        <v>-2.4799999999999995</v>
      </c>
      <c r="T65" s="36"/>
      <c r="U65" s="93"/>
    </row>
    <row r="66" spans="1:21" s="6" customFormat="1" ht="30.75">
      <c r="A66" s="8"/>
      <c r="B66" s="130" t="s">
        <v>57</v>
      </c>
      <c r="C66" s="42">
        <v>31020000</v>
      </c>
      <c r="D66" s="148">
        <v>0</v>
      </c>
      <c r="E66" s="148">
        <v>0</v>
      </c>
      <c r="F66" s="154">
        <v>-5.25</v>
      </c>
      <c r="G66" s="160">
        <f t="shared" si="12"/>
        <v>-5.25</v>
      </c>
      <c r="H66" s="162"/>
      <c r="I66" s="163">
        <f t="shared" si="13"/>
        <v>-5.25</v>
      </c>
      <c r="J66" s="163"/>
      <c r="K66" s="163">
        <v>0.37</v>
      </c>
      <c r="L66" s="163">
        <f t="shared" si="18"/>
        <v>-5.62</v>
      </c>
      <c r="M66" s="216">
        <f t="shared" si="17"/>
        <v>-14.18918918918919</v>
      </c>
      <c r="N66" s="162">
        <f>E66-березень!E66</f>
        <v>0</v>
      </c>
      <c r="O66" s="166">
        <f>F66-березень!F66</f>
        <v>0.08000000000000007</v>
      </c>
      <c r="P66" s="165">
        <f t="shared" si="14"/>
        <v>0.08000000000000007</v>
      </c>
      <c r="Q66" s="163"/>
      <c r="R66" s="36">
        <v>0</v>
      </c>
      <c r="S66" s="36">
        <f t="shared" si="15"/>
        <v>0.08000000000000007</v>
      </c>
      <c r="T66" s="36"/>
      <c r="U66" s="93"/>
    </row>
    <row r="67" spans="1:21" s="6" customFormat="1" ht="18">
      <c r="A67" s="9"/>
      <c r="B67" s="14" t="s">
        <v>173</v>
      </c>
      <c r="C67" s="61"/>
      <c r="D67" s="149">
        <f>D8+D41+D65+D66</f>
        <v>1357491.1</v>
      </c>
      <c r="E67" s="149">
        <f>E8+E41+E65+E66</f>
        <v>417417.1</v>
      </c>
      <c r="F67" s="149">
        <f>F8+F41+F65+F66</f>
        <v>379010.77</v>
      </c>
      <c r="G67" s="149">
        <f>F67-E67</f>
        <v>-38406.32999999996</v>
      </c>
      <c r="H67" s="150">
        <f>F67/E67*100</f>
        <v>90.7990520752504</v>
      </c>
      <c r="I67" s="151">
        <f>F67-D67</f>
        <v>-978480.3300000001</v>
      </c>
      <c r="J67" s="151">
        <f>F67/D67*100</f>
        <v>27.919945110505694</v>
      </c>
      <c r="K67" s="151">
        <v>310905.14</v>
      </c>
      <c r="L67" s="151">
        <f>F67-K67</f>
        <v>68105.63</v>
      </c>
      <c r="M67" s="217">
        <f>F67/K67</f>
        <v>1.2190559795827114</v>
      </c>
      <c r="N67" s="149">
        <f>N8+N41+N65+N66</f>
        <v>110560.2</v>
      </c>
      <c r="O67" s="149">
        <f>O8+O41+O65+O66</f>
        <v>71581.77</v>
      </c>
      <c r="P67" s="153">
        <f>O67-N67</f>
        <v>-38978.42999999999</v>
      </c>
      <c r="Q67" s="151">
        <f>O67/N67*100</f>
        <v>64.74460972393321</v>
      </c>
      <c r="R67" s="26">
        <f>R8+R41+R65+R66</f>
        <v>110624.8</v>
      </c>
      <c r="S67" s="278">
        <f>O67-R67</f>
        <v>-39043.03</v>
      </c>
      <c r="T67" s="278"/>
      <c r="U67" s="114">
        <f>O67/34768</f>
        <v>2.058840600552232</v>
      </c>
    </row>
    <row r="68" spans="1:21" s="47" customFormat="1" ht="17.25" hidden="1">
      <c r="A68" s="44"/>
      <c r="B68" s="54"/>
      <c r="C68" s="62"/>
      <c r="D68" s="45"/>
      <c r="E68" s="45"/>
      <c r="F68" s="81"/>
      <c r="G68" s="76"/>
      <c r="H68" s="46"/>
      <c r="I68" s="53"/>
      <c r="J68" s="34"/>
      <c r="K68" s="34"/>
      <c r="L68" s="34"/>
      <c r="M68" s="34"/>
      <c r="N68" s="46"/>
      <c r="O68" s="45"/>
      <c r="P68" s="78"/>
      <c r="Q68" s="34"/>
      <c r="R68" s="34"/>
      <c r="S68" s="34"/>
      <c r="T68" s="34"/>
      <c r="U68" s="95"/>
    </row>
    <row r="69" spans="1:21" s="47" customFormat="1" ht="17.25" hidden="1">
      <c r="A69" s="44"/>
      <c r="B69" s="55"/>
      <c r="C69" s="62"/>
      <c r="D69" s="56"/>
      <c r="E69" s="45"/>
      <c r="F69" s="81"/>
      <c r="G69" s="39"/>
      <c r="H69" s="46"/>
      <c r="I69" s="57"/>
      <c r="J69" s="34"/>
      <c r="K69" s="34"/>
      <c r="L69" s="34"/>
      <c r="M69" s="34"/>
      <c r="N69" s="29"/>
      <c r="O69" s="45"/>
      <c r="P69" s="58"/>
      <c r="Q69" s="34"/>
      <c r="R69" s="34"/>
      <c r="S69" s="34"/>
      <c r="T69" s="34"/>
      <c r="U69" s="95"/>
    </row>
    <row r="70" spans="1:21" s="47" customFormat="1" ht="17.25" hidden="1">
      <c r="A70" s="44"/>
      <c r="B70" s="55"/>
      <c r="C70" s="62"/>
      <c r="D70" s="56"/>
      <c r="E70" s="33"/>
      <c r="F70" s="110"/>
      <c r="G70" s="39"/>
      <c r="H70" s="46"/>
      <c r="I70" s="57"/>
      <c r="J70" s="34"/>
      <c r="K70" s="34"/>
      <c r="L70" s="34"/>
      <c r="M70" s="34"/>
      <c r="N70" s="29"/>
      <c r="O70" s="56"/>
      <c r="P70" s="78"/>
      <c r="Q70" s="34"/>
      <c r="R70" s="34"/>
      <c r="S70" s="34"/>
      <c r="T70" s="34"/>
      <c r="U70" s="95"/>
    </row>
    <row r="71" spans="2:21" ht="15">
      <c r="B71" s="22" t="s">
        <v>106</v>
      </c>
      <c r="C71" s="63"/>
      <c r="D71" s="24"/>
      <c r="E71" s="24"/>
      <c r="F71" s="140"/>
      <c r="G71" s="33"/>
      <c r="H71" s="29"/>
      <c r="I71" s="37"/>
      <c r="J71" s="37"/>
      <c r="K71" s="37"/>
      <c r="L71" s="37"/>
      <c r="M71" s="37"/>
      <c r="N71" s="30"/>
      <c r="O71" s="144"/>
      <c r="P71" s="35"/>
      <c r="Q71" s="37"/>
      <c r="R71" s="37"/>
      <c r="S71" s="37"/>
      <c r="T71" s="37"/>
      <c r="U71" s="96"/>
    </row>
    <row r="72" spans="2:21" ht="25.5" customHeight="1" hidden="1">
      <c r="B72" s="232" t="s">
        <v>100</v>
      </c>
      <c r="C72" s="133">
        <v>12020000</v>
      </c>
      <c r="D72" s="178">
        <v>0</v>
      </c>
      <c r="E72" s="178"/>
      <c r="F72" s="179">
        <v>0.01</v>
      </c>
      <c r="G72" s="160"/>
      <c r="H72" s="162"/>
      <c r="I72" s="165"/>
      <c r="J72" s="165"/>
      <c r="K72" s="165">
        <v>0.01</v>
      </c>
      <c r="L72" s="165">
        <f>F72-K72</f>
        <v>0</v>
      </c>
      <c r="M72" s="207">
        <f>F72/K72</f>
        <v>1</v>
      </c>
      <c r="N72" s="160">
        <f>E72-'січень 17'!E69</f>
        <v>0</v>
      </c>
      <c r="O72" s="180">
        <f>F72-'січень 17'!F69</f>
        <v>0</v>
      </c>
      <c r="P72" s="165"/>
      <c r="Q72" s="165"/>
      <c r="R72" s="37"/>
      <c r="S72" s="37"/>
      <c r="T72" s="37"/>
      <c r="U72" s="96"/>
    </row>
    <row r="73" spans="2:21" ht="31.5" hidden="1">
      <c r="B73" s="233" t="s">
        <v>62</v>
      </c>
      <c r="C73" s="72">
        <v>18041500</v>
      </c>
      <c r="D73" s="178">
        <v>0</v>
      </c>
      <c r="E73" s="178"/>
      <c r="F73" s="179">
        <v>0</v>
      </c>
      <c r="G73" s="160">
        <f>F73-E73</f>
        <v>0</v>
      </c>
      <c r="H73" s="162"/>
      <c r="I73" s="165">
        <f>F73-D73</f>
        <v>0</v>
      </c>
      <c r="J73" s="165"/>
      <c r="K73" s="165">
        <v>-55.72</v>
      </c>
      <c r="L73" s="165">
        <f>F73-K73</f>
        <v>55.72</v>
      </c>
      <c r="M73" s="207">
        <f>F73/K73</f>
        <v>0</v>
      </c>
      <c r="N73" s="160">
        <f>E73-'січень 17'!E70</f>
        <v>0</v>
      </c>
      <c r="O73" s="180">
        <f>F73-'січень 17'!F70</f>
        <v>0</v>
      </c>
      <c r="P73" s="165">
        <f>O73-N73</f>
        <v>0</v>
      </c>
      <c r="Q73" s="165"/>
      <c r="R73" s="37"/>
      <c r="S73" s="37"/>
      <c r="T73" s="37"/>
      <c r="U73" s="96"/>
    </row>
    <row r="74" spans="2:21" ht="17.25" hidden="1">
      <c r="B74" s="243" t="s">
        <v>45</v>
      </c>
      <c r="C74" s="73"/>
      <c r="D74" s="181">
        <f>D73</f>
        <v>0</v>
      </c>
      <c r="E74" s="181">
        <f>E73</f>
        <v>0</v>
      </c>
      <c r="F74" s="182">
        <f>SUM(F72:F73)</f>
        <v>0.01</v>
      </c>
      <c r="G74" s="183">
        <f>F74-E74</f>
        <v>0.01</v>
      </c>
      <c r="H74" s="184"/>
      <c r="I74" s="185">
        <f>F74-D74</f>
        <v>0.01</v>
      </c>
      <c r="J74" s="185"/>
      <c r="K74" s="185">
        <v>-0.27</v>
      </c>
      <c r="L74" s="185">
        <f>F74-K74</f>
        <v>0.28</v>
      </c>
      <c r="M74" s="212">
        <f>F74/K74</f>
        <v>-0.037037037037037035</v>
      </c>
      <c r="N74" s="183">
        <f>N73</f>
        <v>0</v>
      </c>
      <c r="O74" s="186">
        <f>SUM(O72:O73)</f>
        <v>0</v>
      </c>
      <c r="P74" s="185">
        <f>O74-N74</f>
        <v>0</v>
      </c>
      <c r="Q74" s="185"/>
      <c r="R74" s="38"/>
      <c r="S74" s="38"/>
      <c r="T74" s="38"/>
      <c r="U74" s="97"/>
    </row>
    <row r="75" spans="2:21" ht="46.5" hidden="1">
      <c r="B75" s="23" t="s">
        <v>37</v>
      </c>
      <c r="C75" s="73">
        <v>21110000</v>
      </c>
      <c r="D75" s="178">
        <v>0</v>
      </c>
      <c r="E75" s="178"/>
      <c r="F75" s="179">
        <v>0</v>
      </c>
      <c r="G75" s="160" t="e">
        <f>#N/A</f>
        <v>#N/A</v>
      </c>
      <c r="H75" s="162" t="e">
        <f>F75/E75*100</f>
        <v>#DIV/0!</v>
      </c>
      <c r="I75" s="165" t="e">
        <f>#N/A</f>
        <v>#N/A</v>
      </c>
      <c r="J75" s="165" t="e">
        <f>#N/A</f>
        <v>#N/A</v>
      </c>
      <c r="K75" s="165"/>
      <c r="L75" s="165"/>
      <c r="M75" s="165"/>
      <c r="N75" s="160">
        <v>0</v>
      </c>
      <c r="O75" s="180">
        <f>F75</f>
        <v>0</v>
      </c>
      <c r="P75" s="165" t="e">
        <f>#N/A</f>
        <v>#N/A</v>
      </c>
      <c r="Q75" s="165"/>
      <c r="R75" s="37"/>
      <c r="S75" s="37"/>
      <c r="T75" s="37"/>
      <c r="U75" s="96"/>
    </row>
    <row r="76" spans="2:21" ht="31.5">
      <c r="B76" s="23" t="s">
        <v>29</v>
      </c>
      <c r="C76" s="72">
        <v>31030000</v>
      </c>
      <c r="D76" s="178">
        <f>4000+100206.03</f>
        <v>104206.03</v>
      </c>
      <c r="E76" s="178">
        <v>0</v>
      </c>
      <c r="F76" s="179">
        <v>0.12</v>
      </c>
      <c r="G76" s="160">
        <f aca="true" t="shared" si="19" ref="G76:G87">F76-E76</f>
        <v>0.12</v>
      </c>
      <c r="H76" s="162"/>
      <c r="I76" s="165">
        <f aca="true" t="shared" si="20" ref="I76:I87">F76-D76</f>
        <v>-104205.91</v>
      </c>
      <c r="J76" s="165">
        <f>F76/D76*100</f>
        <v>0.00011515648374666994</v>
      </c>
      <c r="K76" s="165">
        <v>300.88</v>
      </c>
      <c r="L76" s="165">
        <f aca="true" t="shared" si="21" ref="L76:L87">F76-K76</f>
        <v>-300.76</v>
      </c>
      <c r="M76" s="207">
        <f>F76/K76</f>
        <v>0.0003988300983780909</v>
      </c>
      <c r="N76" s="162">
        <f>E76-березень!E76</f>
        <v>0</v>
      </c>
      <c r="O76" s="166">
        <f>F76-березень!F76</f>
        <v>0.009999999999999995</v>
      </c>
      <c r="P76" s="165">
        <f aca="true" t="shared" si="22" ref="P76:P89">O76-N76</f>
        <v>0.009999999999999995</v>
      </c>
      <c r="Q76" s="165" t="e">
        <f>O76/N76*100</f>
        <v>#DIV/0!</v>
      </c>
      <c r="R76" s="37"/>
      <c r="S76" s="37"/>
      <c r="T76" s="37"/>
      <c r="U76" s="96"/>
    </row>
    <row r="77" spans="2:21" ht="18">
      <c r="B77" s="23" t="s">
        <v>30</v>
      </c>
      <c r="C77" s="72">
        <v>33010000</v>
      </c>
      <c r="D77" s="178">
        <f>8000+46000</f>
        <v>54000</v>
      </c>
      <c r="E77" s="178">
        <v>8430</v>
      </c>
      <c r="F77" s="179">
        <v>291.67</v>
      </c>
      <c r="G77" s="160">
        <f t="shared" si="19"/>
        <v>-8138.33</v>
      </c>
      <c r="H77" s="162">
        <f>F77/E77*100</f>
        <v>3.4599051008303676</v>
      </c>
      <c r="I77" s="165">
        <f t="shared" si="20"/>
        <v>-53708.33</v>
      </c>
      <c r="J77" s="165">
        <f>F77/D77*100</f>
        <v>0.5401296296296296</v>
      </c>
      <c r="K77" s="165">
        <v>472.26</v>
      </c>
      <c r="L77" s="165">
        <f t="shared" si="21"/>
        <v>-180.58999999999997</v>
      </c>
      <c r="M77" s="207">
        <f>F77/K77</f>
        <v>0.6176047092703173</v>
      </c>
      <c r="N77" s="162">
        <f>E77-березень!E77</f>
        <v>3600</v>
      </c>
      <c r="O77" s="166">
        <f>F77-березень!F77</f>
        <v>124.47000000000003</v>
      </c>
      <c r="P77" s="165">
        <f t="shared" si="22"/>
        <v>-3475.5299999999997</v>
      </c>
      <c r="Q77" s="165">
        <f>O77/N77*100</f>
        <v>3.457500000000001</v>
      </c>
      <c r="R77" s="37"/>
      <c r="S77" s="37"/>
      <c r="T77" s="37"/>
      <c r="U77" s="96"/>
    </row>
    <row r="78" spans="2:21" ht="31.5">
      <c r="B78" s="23" t="s">
        <v>54</v>
      </c>
      <c r="C78" s="72">
        <v>24170000</v>
      </c>
      <c r="D78" s="178">
        <f>10000+69000</f>
        <v>79000</v>
      </c>
      <c r="E78" s="178">
        <v>8500</v>
      </c>
      <c r="F78" s="179">
        <v>1731.12</v>
      </c>
      <c r="G78" s="160">
        <f t="shared" si="19"/>
        <v>-6768.88</v>
      </c>
      <c r="H78" s="162">
        <f>F78/E78*100</f>
        <v>20.36611764705882</v>
      </c>
      <c r="I78" s="165">
        <f t="shared" si="20"/>
        <v>-77268.88</v>
      </c>
      <c r="J78" s="165">
        <f>F78/D78*100</f>
        <v>2.1912911392405063</v>
      </c>
      <c r="K78" s="165">
        <v>8810.08</v>
      </c>
      <c r="L78" s="165">
        <f t="shared" si="21"/>
        <v>-7078.96</v>
      </c>
      <c r="M78" s="207">
        <f>F78/K78</f>
        <v>0.19649310789459346</v>
      </c>
      <c r="N78" s="162">
        <f>E78-березень!E78</f>
        <v>3850</v>
      </c>
      <c r="O78" s="166">
        <f>F78-березень!F78</f>
        <v>516.8799999999999</v>
      </c>
      <c r="P78" s="165">
        <f t="shared" si="22"/>
        <v>-3333.12</v>
      </c>
      <c r="Q78" s="165">
        <f>O78/N78*100</f>
        <v>13.425454545454544</v>
      </c>
      <c r="R78" s="37"/>
      <c r="S78" s="37"/>
      <c r="T78" s="37"/>
      <c r="U78" s="96"/>
    </row>
    <row r="79" spans="2:21" ht="18">
      <c r="B79" s="23" t="s">
        <v>101</v>
      </c>
      <c r="C79" s="72">
        <v>24110700</v>
      </c>
      <c r="D79" s="178">
        <v>12</v>
      </c>
      <c r="E79" s="178">
        <v>4</v>
      </c>
      <c r="F79" s="179">
        <v>4</v>
      </c>
      <c r="G79" s="160">
        <f t="shared" si="19"/>
        <v>0</v>
      </c>
      <c r="H79" s="162">
        <f>F79/E79*100</f>
        <v>100</v>
      </c>
      <c r="I79" s="165">
        <f t="shared" si="20"/>
        <v>-8</v>
      </c>
      <c r="J79" s="165">
        <f>F79/D79*100</f>
        <v>33.33333333333333</v>
      </c>
      <c r="K79" s="165">
        <v>4</v>
      </c>
      <c r="L79" s="165">
        <f t="shared" si="21"/>
        <v>0</v>
      </c>
      <c r="M79" s="207"/>
      <c r="N79" s="162">
        <f>E79-березень!E79</f>
        <v>1</v>
      </c>
      <c r="O79" s="166">
        <f>F79-березень!F79</f>
        <v>1</v>
      </c>
      <c r="P79" s="165">
        <f t="shared" si="22"/>
        <v>0</v>
      </c>
      <c r="Q79" s="165">
        <f>O79/N79*100</f>
        <v>100</v>
      </c>
      <c r="R79" s="37"/>
      <c r="S79" s="279"/>
      <c r="T79" s="279"/>
      <c r="U79" s="134"/>
    </row>
    <row r="80" spans="2:21" ht="33">
      <c r="B80" s="27" t="s">
        <v>51</v>
      </c>
      <c r="C80" s="64"/>
      <c r="D80" s="181">
        <f>D76+D77+D78+D79</f>
        <v>237218.03</v>
      </c>
      <c r="E80" s="181">
        <f>E76+E77+E78+E79</f>
        <v>16934</v>
      </c>
      <c r="F80" s="182">
        <f>F76+F77+F78+F79</f>
        <v>2026.9099999999999</v>
      </c>
      <c r="G80" s="183">
        <f t="shared" si="19"/>
        <v>-14907.09</v>
      </c>
      <c r="H80" s="184">
        <f>F80/E80*100</f>
        <v>11.969469705917088</v>
      </c>
      <c r="I80" s="185">
        <f t="shared" si="20"/>
        <v>-235191.12</v>
      </c>
      <c r="J80" s="185">
        <f>F80/D80*100</f>
        <v>0.8544502287621223</v>
      </c>
      <c r="K80" s="185">
        <v>9587.22</v>
      </c>
      <c r="L80" s="185">
        <f t="shared" si="21"/>
        <v>-7560.3099999999995</v>
      </c>
      <c r="M80" s="212">
        <f>F80/K80</f>
        <v>0.2114179084239227</v>
      </c>
      <c r="N80" s="183">
        <f>N76+N77+N78+N79</f>
        <v>7451</v>
      </c>
      <c r="O80" s="187">
        <f>O76+O77+O78+O79</f>
        <v>642.3599999999999</v>
      </c>
      <c r="P80" s="185">
        <f t="shared" si="22"/>
        <v>-6808.64</v>
      </c>
      <c r="Q80" s="185">
        <f>O80/N80*100</f>
        <v>8.621124681250837</v>
      </c>
      <c r="R80" s="38"/>
      <c r="S80" s="280"/>
      <c r="T80" s="280"/>
      <c r="U80" s="115"/>
    </row>
    <row r="81" spans="2:21" ht="46.5">
      <c r="B81" s="12" t="s">
        <v>40</v>
      </c>
      <c r="C81" s="74">
        <v>24062100</v>
      </c>
      <c r="D81" s="178">
        <v>40</v>
      </c>
      <c r="E81" s="178">
        <v>2.5</v>
      </c>
      <c r="F81" s="179">
        <v>9</v>
      </c>
      <c r="G81" s="160">
        <f t="shared" si="19"/>
        <v>6.5</v>
      </c>
      <c r="H81" s="162"/>
      <c r="I81" s="165">
        <f t="shared" si="20"/>
        <v>-31</v>
      </c>
      <c r="J81" s="165"/>
      <c r="K81" s="165">
        <v>3.06</v>
      </c>
      <c r="L81" s="165">
        <f t="shared" si="21"/>
        <v>5.9399999999999995</v>
      </c>
      <c r="M81" s="207">
        <f>F81/K81</f>
        <v>2.941176470588235</v>
      </c>
      <c r="N81" s="162">
        <f>E81-березень!E81</f>
        <v>2</v>
      </c>
      <c r="O81" s="166">
        <f>F81-березень!F81</f>
        <v>0.22000000000000064</v>
      </c>
      <c r="P81" s="165">
        <f t="shared" si="22"/>
        <v>-1.7799999999999994</v>
      </c>
      <c r="Q81" s="165"/>
      <c r="R81" s="37"/>
      <c r="S81" s="37"/>
      <c r="T81" s="37"/>
      <c r="U81" s="96"/>
    </row>
    <row r="82" spans="2:21" ht="18" hidden="1">
      <c r="B82" s="233" t="s">
        <v>52</v>
      </c>
      <c r="C82" s="72">
        <v>24061600</v>
      </c>
      <c r="D82" s="178">
        <v>0</v>
      </c>
      <c r="E82" s="178">
        <v>0</v>
      </c>
      <c r="F82" s="179">
        <v>0</v>
      </c>
      <c r="G82" s="160">
        <f t="shared" si="19"/>
        <v>0</v>
      </c>
      <c r="H82" s="162"/>
      <c r="I82" s="165">
        <f t="shared" si="20"/>
        <v>0</v>
      </c>
      <c r="J82" s="188"/>
      <c r="K82" s="165">
        <v>0</v>
      </c>
      <c r="L82" s="165">
        <f t="shared" si="21"/>
        <v>0</v>
      </c>
      <c r="M82" s="207" t="e">
        <f>F82/K82</f>
        <v>#DIV/0!</v>
      </c>
      <c r="N82" s="162">
        <f>E82-березень!E82</f>
        <v>0</v>
      </c>
      <c r="O82" s="166">
        <f>F82-березень!F82</f>
        <v>0</v>
      </c>
      <c r="P82" s="165">
        <f t="shared" si="22"/>
        <v>0</v>
      </c>
      <c r="Q82" s="188"/>
      <c r="R82" s="40"/>
      <c r="S82" s="40"/>
      <c r="T82" s="40"/>
      <c r="U82" s="98"/>
    </row>
    <row r="83" spans="2:21" ht="18">
      <c r="B83" s="23" t="s">
        <v>46</v>
      </c>
      <c r="C83" s="72">
        <v>19010000</v>
      </c>
      <c r="D83" s="178">
        <v>8360</v>
      </c>
      <c r="E83" s="178">
        <v>2365.2</v>
      </c>
      <c r="F83" s="179">
        <v>2226.14</v>
      </c>
      <c r="G83" s="160">
        <f t="shared" si="19"/>
        <v>-139.05999999999995</v>
      </c>
      <c r="H83" s="162">
        <f>F83/E83*100</f>
        <v>94.1205817689836</v>
      </c>
      <c r="I83" s="165">
        <f t="shared" si="20"/>
        <v>-6133.860000000001</v>
      </c>
      <c r="J83" s="165">
        <f>F83/D83*100</f>
        <v>26.62846889952153</v>
      </c>
      <c r="K83" s="165">
        <v>2035.53</v>
      </c>
      <c r="L83" s="165">
        <f t="shared" si="21"/>
        <v>190.6099999999999</v>
      </c>
      <c r="M83" s="207"/>
      <c r="N83" s="162">
        <f>E83-березень!E83</f>
        <v>8.899999999999636</v>
      </c>
      <c r="O83" s="166">
        <f>F83-березень!F83</f>
        <v>8.190000000000055</v>
      </c>
      <c r="P83" s="165">
        <f>O83-N83</f>
        <v>-0.7099999999995816</v>
      </c>
      <c r="Q83" s="188">
        <f>O83/N83*100</f>
        <v>92.02247191011674</v>
      </c>
      <c r="R83" s="40"/>
      <c r="S83" s="40"/>
      <c r="T83" s="40"/>
      <c r="U83" s="98"/>
    </row>
    <row r="84" spans="2:21" ht="31.5">
      <c r="B84" s="23" t="s">
        <v>50</v>
      </c>
      <c r="C84" s="72">
        <v>19050000</v>
      </c>
      <c r="D84" s="178">
        <v>0</v>
      </c>
      <c r="E84" s="178"/>
      <c r="F84" s="179">
        <v>0.03</v>
      </c>
      <c r="G84" s="160">
        <f t="shared" si="19"/>
        <v>0.03</v>
      </c>
      <c r="H84" s="162"/>
      <c r="I84" s="165">
        <f t="shared" si="20"/>
        <v>0.03</v>
      </c>
      <c r="J84" s="165"/>
      <c r="K84" s="165">
        <v>0.52</v>
      </c>
      <c r="L84" s="165">
        <f t="shared" si="21"/>
        <v>-0.49</v>
      </c>
      <c r="M84" s="207">
        <f aca="true" t="shared" si="23" ref="M84:M89">F84/K84</f>
        <v>0.05769230769230769</v>
      </c>
      <c r="N84" s="162">
        <f>E84-березень!E84</f>
        <v>0</v>
      </c>
      <c r="O84" s="166">
        <f>F84-березень!F84</f>
        <v>0</v>
      </c>
      <c r="P84" s="165">
        <f t="shared" si="22"/>
        <v>0</v>
      </c>
      <c r="Q84" s="165"/>
      <c r="R84" s="37"/>
      <c r="S84" s="37"/>
      <c r="T84" s="37"/>
      <c r="U84" s="96"/>
    </row>
    <row r="85" spans="2:21" ht="30">
      <c r="B85" s="27" t="s">
        <v>47</v>
      </c>
      <c r="C85" s="72"/>
      <c r="D85" s="181">
        <f>D81+D84+D82+D83</f>
        <v>8400</v>
      </c>
      <c r="E85" s="181">
        <f>E81+E84+E82+E83</f>
        <v>2367.7</v>
      </c>
      <c r="F85" s="182">
        <f>F81+F84+F82+F83</f>
        <v>2235.17</v>
      </c>
      <c r="G85" s="181">
        <f>G81+G84+G82+G83</f>
        <v>-132.52999999999994</v>
      </c>
      <c r="H85" s="184">
        <f>F85/E85*100</f>
        <v>94.40258478692402</v>
      </c>
      <c r="I85" s="185">
        <f t="shared" si="20"/>
        <v>-6164.83</v>
      </c>
      <c r="J85" s="185">
        <f>F85/D85*100</f>
        <v>26.609166666666667</v>
      </c>
      <c r="K85" s="185">
        <v>2039.11</v>
      </c>
      <c r="L85" s="185">
        <f t="shared" si="21"/>
        <v>196.06000000000017</v>
      </c>
      <c r="M85" s="218">
        <f t="shared" si="23"/>
        <v>1.0961497908401214</v>
      </c>
      <c r="N85" s="183">
        <f>N81+N84+N82+N83</f>
        <v>10.899999999999636</v>
      </c>
      <c r="O85" s="187">
        <f>O81+O84+O82+O83</f>
        <v>8.410000000000055</v>
      </c>
      <c r="P85" s="183">
        <f>P81+P84+P82+P83</f>
        <v>-2.489999999999581</v>
      </c>
      <c r="Q85" s="185">
        <f>O85/N85*100</f>
        <v>77.15596330275537</v>
      </c>
      <c r="R85" s="38"/>
      <c r="S85" s="38"/>
      <c r="T85" s="38"/>
      <c r="U85" s="95"/>
    </row>
    <row r="86" spans="2:21" ht="30.75">
      <c r="B86" s="12" t="s">
        <v>41</v>
      </c>
      <c r="C86" s="42">
        <v>24110900</v>
      </c>
      <c r="D86" s="178">
        <v>38</v>
      </c>
      <c r="E86" s="178">
        <v>14.1</v>
      </c>
      <c r="F86" s="179">
        <v>7.31</v>
      </c>
      <c r="G86" s="160">
        <f t="shared" si="19"/>
        <v>-6.79</v>
      </c>
      <c r="H86" s="162">
        <f>F86/E86*100</f>
        <v>51.843971631205676</v>
      </c>
      <c r="I86" s="165">
        <f t="shared" si="20"/>
        <v>-30.69</v>
      </c>
      <c r="J86" s="165">
        <f>F86/D86*100</f>
        <v>19.236842105263158</v>
      </c>
      <c r="K86" s="165">
        <v>9.19</v>
      </c>
      <c r="L86" s="165">
        <f t="shared" si="21"/>
        <v>-1.88</v>
      </c>
      <c r="M86" s="207">
        <f t="shared" si="23"/>
        <v>0.795429815016322</v>
      </c>
      <c r="N86" s="162">
        <f>E86-березень!E86</f>
        <v>1.1999999999999993</v>
      </c>
      <c r="O86" s="166">
        <f>F86-березень!F86</f>
        <v>0.1899999999999995</v>
      </c>
      <c r="P86" s="165">
        <f t="shared" si="22"/>
        <v>-1.0099999999999998</v>
      </c>
      <c r="Q86" s="165">
        <f>O86/N86</f>
        <v>0.15833333333333302</v>
      </c>
      <c r="R86" s="37"/>
      <c r="S86" s="37"/>
      <c r="T86" s="37"/>
      <c r="U86" s="96"/>
    </row>
    <row r="87" spans="2:21" ht="18">
      <c r="B87" s="121" t="s">
        <v>130</v>
      </c>
      <c r="C87" s="42">
        <v>21110000</v>
      </c>
      <c r="D87" s="178">
        <v>0</v>
      </c>
      <c r="E87" s="178">
        <v>0</v>
      </c>
      <c r="F87" s="179">
        <v>35.57</v>
      </c>
      <c r="G87" s="160">
        <f t="shared" si="19"/>
        <v>35.57</v>
      </c>
      <c r="H87" s="162"/>
      <c r="I87" s="165">
        <f t="shared" si="20"/>
        <v>35.57</v>
      </c>
      <c r="J87" s="165"/>
      <c r="K87" s="165">
        <v>0</v>
      </c>
      <c r="L87" s="165">
        <f t="shared" si="21"/>
        <v>35.57</v>
      </c>
      <c r="M87" s="165"/>
      <c r="N87" s="162">
        <f>E87-березень!E87</f>
        <v>0</v>
      </c>
      <c r="O87" s="166">
        <f>F87-березень!F87</f>
        <v>0</v>
      </c>
      <c r="P87" s="165">
        <f t="shared" si="22"/>
        <v>0</v>
      </c>
      <c r="Q87" s="165"/>
      <c r="R87" s="37"/>
      <c r="S87" s="37"/>
      <c r="T87" s="37"/>
      <c r="U87" s="96"/>
    </row>
    <row r="88" spans="2:21" ht="23.25" customHeight="1">
      <c r="B88" s="14" t="s">
        <v>31</v>
      </c>
      <c r="C88" s="65"/>
      <c r="D88" s="189">
        <f>D74+D86+D80+D85</f>
        <v>245656.03</v>
      </c>
      <c r="E88" s="189">
        <f>E74+E86+E80+E85+E87</f>
        <v>19315.8</v>
      </c>
      <c r="F88" s="189">
        <f>F74+F86+F80+F85+F87</f>
        <v>4304.969999999999</v>
      </c>
      <c r="G88" s="190">
        <f>F88-E88</f>
        <v>-15010.83</v>
      </c>
      <c r="H88" s="191">
        <f>F88/E88*100</f>
        <v>22.287298481036245</v>
      </c>
      <c r="I88" s="192">
        <f>F88-D88</f>
        <v>-241351.06</v>
      </c>
      <c r="J88" s="192">
        <f>F88/D88*100</f>
        <v>1.7524381550902697</v>
      </c>
      <c r="K88" s="192">
        <v>11639.75</v>
      </c>
      <c r="L88" s="192">
        <f>F88-K88</f>
        <v>-7334.780000000001</v>
      </c>
      <c r="M88" s="219">
        <f t="shared" si="23"/>
        <v>0.36985072703451527</v>
      </c>
      <c r="N88" s="189">
        <f>N74+N86+N80+N85+N87</f>
        <v>7463.099999999999</v>
      </c>
      <c r="O88" s="189">
        <f>O74+O86+O80+O85+O87</f>
        <v>650.96</v>
      </c>
      <c r="P88" s="192">
        <f t="shared" si="22"/>
        <v>-6812.139999999999</v>
      </c>
      <c r="Q88" s="192">
        <f>O88/N88*100</f>
        <v>8.722380780104784</v>
      </c>
      <c r="R88" s="26">
        <f>O88-8104.96</f>
        <v>-7454</v>
      </c>
      <c r="S88" s="26"/>
      <c r="T88" s="26"/>
      <c r="U88" s="94">
        <f>O88/8104.96</f>
        <v>0.08031625078963993</v>
      </c>
    </row>
    <row r="89" spans="2:21" ht="17.25">
      <c r="B89" s="21" t="s">
        <v>171</v>
      </c>
      <c r="C89" s="65"/>
      <c r="D89" s="189">
        <f>D67+D88</f>
        <v>1603147.1300000001</v>
      </c>
      <c r="E89" s="189">
        <f>E67+E88</f>
        <v>436732.89999999997</v>
      </c>
      <c r="F89" s="189">
        <f>F67+F88</f>
        <v>383315.74</v>
      </c>
      <c r="G89" s="190">
        <f>F89-E89</f>
        <v>-53417.159999999974</v>
      </c>
      <c r="H89" s="191">
        <f>F89/E89*100</f>
        <v>87.76891779849882</v>
      </c>
      <c r="I89" s="192">
        <f>F89-D89</f>
        <v>-1219831.3900000001</v>
      </c>
      <c r="J89" s="192">
        <f>F89/D89*100</f>
        <v>23.91020342593259</v>
      </c>
      <c r="K89" s="192">
        <f>K67+K88</f>
        <v>322544.89</v>
      </c>
      <c r="L89" s="192">
        <f>F89-K89</f>
        <v>60770.84999999998</v>
      </c>
      <c r="M89" s="219">
        <f t="shared" si="23"/>
        <v>1.1884105186102931</v>
      </c>
      <c r="N89" s="190">
        <f>N67+N88</f>
        <v>118023.3</v>
      </c>
      <c r="O89" s="190">
        <f>O67+O88</f>
        <v>72232.73000000001</v>
      </c>
      <c r="P89" s="192">
        <f t="shared" si="22"/>
        <v>-45790.56999999999</v>
      </c>
      <c r="Q89" s="192">
        <f>O89/N89*100</f>
        <v>61.20209314601439</v>
      </c>
      <c r="R89" s="26">
        <f>O89-42872.96</f>
        <v>29359.77000000001</v>
      </c>
      <c r="S89" s="26"/>
      <c r="T89" s="26"/>
      <c r="U89" s="94">
        <f>O89/42872.96</f>
        <v>1.684808559987461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5">
        <v>5</v>
      </c>
      <c r="D91" s="4" t="s">
        <v>35</v>
      </c>
      <c r="O91" s="77"/>
    </row>
    <row r="92" spans="2:20" ht="30.75">
      <c r="B92" s="51" t="s">
        <v>53</v>
      </c>
      <c r="C92" s="28">
        <f>IF(P67&lt;0,ABS(P67/C91),0)</f>
        <v>7795.685999999999</v>
      </c>
      <c r="D92" s="4" t="s">
        <v>24</v>
      </c>
      <c r="G92" s="307"/>
      <c r="H92" s="307"/>
      <c r="I92" s="307"/>
      <c r="J92" s="307"/>
      <c r="K92" s="83"/>
      <c r="L92" s="83"/>
      <c r="M92" s="83"/>
      <c r="Q92" s="25"/>
      <c r="R92" s="25"/>
      <c r="S92" s="25"/>
      <c r="T92" s="25"/>
    </row>
    <row r="93" spans="2:16" ht="34.5" customHeight="1">
      <c r="B93" s="52" t="s">
        <v>55</v>
      </c>
      <c r="C93" s="80">
        <v>42846</v>
      </c>
      <c r="D93" s="28">
        <v>6365.2</v>
      </c>
      <c r="G93" s="4" t="s">
        <v>58</v>
      </c>
      <c r="O93" s="308"/>
      <c r="P93" s="308"/>
    </row>
    <row r="94" spans="3:16" ht="15">
      <c r="C94" s="80">
        <v>42845</v>
      </c>
      <c r="D94" s="28">
        <v>6365.2</v>
      </c>
      <c r="F94" s="112" t="s">
        <v>58</v>
      </c>
      <c r="G94" s="311"/>
      <c r="H94" s="311"/>
      <c r="I94" s="117"/>
      <c r="J94" s="312"/>
      <c r="K94" s="312"/>
      <c r="L94" s="312"/>
      <c r="M94" s="312"/>
      <c r="N94" s="312"/>
      <c r="O94" s="308"/>
      <c r="P94" s="308"/>
    </row>
    <row r="95" spans="3:16" ht="15.75" customHeight="1">
      <c r="C95" s="80">
        <v>42844</v>
      </c>
      <c r="D95" s="28">
        <v>5684.9</v>
      </c>
      <c r="F95" s="67"/>
      <c r="G95" s="311"/>
      <c r="H95" s="311"/>
      <c r="I95" s="117"/>
      <c r="J95" s="313"/>
      <c r="K95" s="313"/>
      <c r="L95" s="313"/>
      <c r="M95" s="313"/>
      <c r="N95" s="313"/>
      <c r="O95" s="308"/>
      <c r="P95" s="308"/>
    </row>
    <row r="96" spans="3:14" ht="15.75" customHeight="1">
      <c r="C96" s="80"/>
      <c r="F96" s="67"/>
      <c r="G96" s="320"/>
      <c r="H96" s="320"/>
      <c r="I96" s="123"/>
      <c r="J96" s="312"/>
      <c r="K96" s="312"/>
      <c r="L96" s="312"/>
      <c r="M96" s="312"/>
      <c r="N96" s="312"/>
    </row>
    <row r="97" spans="2:14" ht="18" customHeight="1">
      <c r="B97" s="321" t="s">
        <v>56</v>
      </c>
      <c r="C97" s="322"/>
      <c r="D97" s="132">
        <v>0</v>
      </c>
      <c r="E97" s="68"/>
      <c r="F97" s="124" t="s">
        <v>105</v>
      </c>
      <c r="G97" s="311"/>
      <c r="H97" s="311"/>
      <c r="I97" s="125"/>
      <c r="J97" s="312"/>
      <c r="K97" s="312"/>
      <c r="L97" s="312"/>
      <c r="M97" s="312"/>
      <c r="N97" s="312"/>
    </row>
    <row r="98" spans="6:13" ht="9.75" customHeight="1" hidden="1">
      <c r="F98" s="67"/>
      <c r="G98" s="311"/>
      <c r="H98" s="311"/>
      <c r="I98" s="67"/>
      <c r="J98" s="68"/>
      <c r="K98" s="68"/>
      <c r="L98" s="68"/>
      <c r="M98" s="68"/>
    </row>
    <row r="99" spans="2:13" ht="22.5" customHeight="1" hidden="1">
      <c r="B99" s="317" t="s">
        <v>59</v>
      </c>
      <c r="C99" s="318"/>
      <c r="D99" s="79">
        <v>0</v>
      </c>
      <c r="E99" s="50" t="s">
        <v>24</v>
      </c>
      <c r="F99" s="67"/>
      <c r="G99" s="311"/>
      <c r="H99" s="311"/>
      <c r="I99" s="67"/>
      <c r="J99" s="68"/>
      <c r="K99" s="68"/>
      <c r="L99" s="68"/>
      <c r="M99" s="68"/>
    </row>
    <row r="100" spans="2:16" ht="15" hidden="1">
      <c r="B100" s="282" t="s">
        <v>184</v>
      </c>
      <c r="D100" s="67">
        <f>D48+D51+D52</f>
        <v>1060</v>
      </c>
      <c r="E100" s="67">
        <f>E48+E51+E52</f>
        <v>444</v>
      </c>
      <c r="F100" s="201">
        <f>F48+F51+F52</f>
        <v>543.14</v>
      </c>
      <c r="G100" s="67">
        <f>G48+G51+G52</f>
        <v>99.14000000000001</v>
      </c>
      <c r="H100" s="68"/>
      <c r="I100" s="68"/>
      <c r="N100" s="28">
        <f>N48+N51+N52</f>
        <v>86</v>
      </c>
      <c r="O100" s="200">
        <f>O48+O51+O52</f>
        <v>102.99000000000004</v>
      </c>
      <c r="P100" s="28">
        <f>P48+P51+P52</f>
        <v>16.99000000000003</v>
      </c>
    </row>
    <row r="101" spans="4:16" ht="15" hidden="1">
      <c r="D101" s="77"/>
      <c r="I101" s="28"/>
      <c r="O101" s="319"/>
      <c r="P101" s="319"/>
    </row>
    <row r="102" spans="2:17" ht="15" hidden="1">
      <c r="B102" s="4" t="s">
        <v>116</v>
      </c>
      <c r="D102" s="28">
        <f>D9+D15+D18+D19+D23+D42+D45+D65+D59</f>
        <v>1299048.6</v>
      </c>
      <c r="E102" s="28">
        <f>E9+E15+E18+E19+E23+E42+E45+E65+E59</f>
        <v>398065.1</v>
      </c>
      <c r="F102" s="227">
        <f>F9+F15+F18+F19+F23+F42+F45+F65+F59</f>
        <v>359898.38</v>
      </c>
      <c r="G102" s="28">
        <f>F102-E102</f>
        <v>-38166.71999999997</v>
      </c>
      <c r="H102" s="228">
        <f>F102/E102</f>
        <v>0.90411940157527</v>
      </c>
      <c r="I102" s="28">
        <f>F102-D102</f>
        <v>-939150.2200000001</v>
      </c>
      <c r="J102" s="228">
        <f>F102/D102</f>
        <v>0.27704766395960856</v>
      </c>
      <c r="N102" s="28">
        <f>N9+N15+N17+N18+N19+N23+N42+N45+N65+N59</f>
        <v>105439.4</v>
      </c>
      <c r="O102" s="227">
        <f>O9+O15+O17+O18+O19+O23+O42+O45+O65+O59</f>
        <v>66521.04000000001</v>
      </c>
      <c r="P102" s="28">
        <f>O102-N102</f>
        <v>-38918.359999999986</v>
      </c>
      <c r="Q102" s="228">
        <f>O102/N102</f>
        <v>0.6308935748875658</v>
      </c>
    </row>
    <row r="103" spans="2:17" ht="15" hidden="1">
      <c r="B103" s="4" t="s">
        <v>117</v>
      </c>
      <c r="D103" s="28">
        <f>D43+D44+D46+D48+D50+D51+D52+D53+D54+D60+D64+D47+D66</f>
        <v>58442.5</v>
      </c>
      <c r="E103" s="28">
        <f>E43+E44+E46+E48+E50+E51+E52+E53+E54+E60+E64+E47+E66</f>
        <v>19352</v>
      </c>
      <c r="F103" s="227">
        <f>F43+F44+F46+F48+F50+F51+F52+F53+F54+F60+F64+F47+F66</f>
        <v>19112.389999999996</v>
      </c>
      <c r="G103" s="28">
        <f>G43+G44+G46+G48+G50+G51+G52+G53+G54+G60+G64+G47</f>
        <v>-234.3600000000003</v>
      </c>
      <c r="H103" s="228">
        <f>F103/E103</f>
        <v>0.987618334022323</v>
      </c>
      <c r="I103" s="28">
        <f>I43+I44+I46+I48+I50+I51+I52+I53+I54+I60+I64+I47</f>
        <v>-39324.85999999999</v>
      </c>
      <c r="J103" s="228">
        <f>F103/D103</f>
        <v>0.32702896008897625</v>
      </c>
      <c r="K103" s="28">
        <f aca="true" t="shared" si="24" ref="K103:P103">K43+K44+K46+K48+K50+K51+K52+K53+K54+K60+K64+K47</f>
        <v>16662.34</v>
      </c>
      <c r="L103" s="28">
        <f t="shared" si="24"/>
        <v>2455.3</v>
      </c>
      <c r="M103" s="28">
        <f t="shared" si="24"/>
        <v>18.978082630920905</v>
      </c>
      <c r="N103" s="28">
        <f>N43+N44+N46+N48+N50+N51+N52+N53+N54+N60+N64+N47+N66</f>
        <v>5120.8</v>
      </c>
      <c r="O103" s="227">
        <f>O43+O44+O46+O48+O50+O51+O52+O53+O54+O60+O64+O47+O66</f>
        <v>5060.73</v>
      </c>
      <c r="P103" s="28">
        <f t="shared" si="24"/>
        <v>-60.15000000000036</v>
      </c>
      <c r="Q103" s="228">
        <f>O103/N103</f>
        <v>0.9882694110295265</v>
      </c>
    </row>
    <row r="104" spans="2:17" ht="15" hidden="1">
      <c r="B104" s="4" t="s">
        <v>118</v>
      </c>
      <c r="D104" s="28">
        <f>SUM(D102:D103)</f>
        <v>1357491.1</v>
      </c>
      <c r="E104" s="28">
        <f aca="true" t="shared" si="25" ref="E104:P104">SUM(E102:E103)</f>
        <v>417417.1</v>
      </c>
      <c r="F104" s="227">
        <f t="shared" si="25"/>
        <v>379010.77</v>
      </c>
      <c r="G104" s="28">
        <f t="shared" si="25"/>
        <v>-38401.07999999997</v>
      </c>
      <c r="H104" s="228">
        <f>F104/E104</f>
        <v>0.907990520752504</v>
      </c>
      <c r="I104" s="28">
        <f t="shared" si="25"/>
        <v>-978475.0800000001</v>
      </c>
      <c r="J104" s="228">
        <f>F104/D104</f>
        <v>0.27919945110505695</v>
      </c>
      <c r="K104" s="28">
        <f t="shared" si="25"/>
        <v>16662.34</v>
      </c>
      <c r="L104" s="28">
        <f t="shared" si="25"/>
        <v>2455.3</v>
      </c>
      <c r="M104" s="28">
        <f t="shared" si="25"/>
        <v>18.978082630920905</v>
      </c>
      <c r="N104" s="28">
        <f t="shared" si="25"/>
        <v>110560.2</v>
      </c>
      <c r="O104" s="227">
        <f t="shared" si="25"/>
        <v>71581.77</v>
      </c>
      <c r="P104" s="28">
        <f t="shared" si="25"/>
        <v>-38978.50999999999</v>
      </c>
      <c r="Q104" s="228">
        <f>O104/N104</f>
        <v>0.6474460972393321</v>
      </c>
    </row>
    <row r="105" spans="4:21" ht="15" hidden="1">
      <c r="D105" s="28">
        <f>D67-D104</f>
        <v>0</v>
      </c>
      <c r="E105" s="28">
        <f aca="true" t="shared" si="26" ref="E105:U105">E67-E104</f>
        <v>0</v>
      </c>
      <c r="F105" s="28">
        <f t="shared" si="26"/>
        <v>0</v>
      </c>
      <c r="G105" s="28">
        <f t="shared" si="26"/>
        <v>-5.249999999985448</v>
      </c>
      <c r="H105" s="228"/>
      <c r="I105" s="28">
        <f t="shared" si="26"/>
        <v>-5.25</v>
      </c>
      <c r="J105" s="228"/>
      <c r="K105" s="28">
        <f t="shared" si="26"/>
        <v>294242.8</v>
      </c>
      <c r="L105" s="28">
        <f t="shared" si="26"/>
        <v>65650.33</v>
      </c>
      <c r="M105" s="28">
        <f t="shared" si="26"/>
        <v>-17.759026651338193</v>
      </c>
      <c r="N105" s="28">
        <f t="shared" si="26"/>
        <v>0</v>
      </c>
      <c r="O105" s="28">
        <f t="shared" si="26"/>
        <v>0</v>
      </c>
      <c r="P105" s="28">
        <f t="shared" si="26"/>
        <v>0.07999999999447027</v>
      </c>
      <c r="Q105" s="28"/>
      <c r="R105" s="28">
        <f t="shared" si="26"/>
        <v>110624.8</v>
      </c>
      <c r="S105" s="28"/>
      <c r="T105" s="28"/>
      <c r="U105" s="28">
        <f t="shared" si="26"/>
        <v>2.058840600552232</v>
      </c>
    </row>
    <row r="106" ht="15" hidden="1">
      <c r="E106" s="4" t="s">
        <v>58</v>
      </c>
    </row>
    <row r="107" spans="2:5" ht="15" hidden="1">
      <c r="B107" s="242" t="s">
        <v>153</v>
      </c>
      <c r="E107" s="28">
        <f>E67-E9-E20-E29-E35</f>
        <v>29161.39999999998</v>
      </c>
    </row>
    <row r="108" spans="2:5" ht="15" hidden="1">
      <c r="B108" s="242" t="s">
        <v>154</v>
      </c>
      <c r="E108" s="28">
        <f>E88-E83-E76-E77</f>
        <v>8520.599999999999</v>
      </c>
    </row>
    <row r="109" ht="15" hidden="1"/>
    <row r="110" spans="2:21" ht="18" hidden="1">
      <c r="B110" s="121" t="s">
        <v>145</v>
      </c>
      <c r="C110" s="42">
        <v>25000000</v>
      </c>
      <c r="D110" s="178">
        <v>72408.22</v>
      </c>
      <c r="E110" s="178">
        <v>18102.06</v>
      </c>
      <c r="F110" s="179">
        <v>20254.32</v>
      </c>
      <c r="G110" s="160">
        <f>F110-E110</f>
        <v>2152.2599999999984</v>
      </c>
      <c r="H110" s="162">
        <f>F110/E110*100</f>
        <v>111.88958604711286</v>
      </c>
      <c r="I110" s="165">
        <f>F110-D110</f>
        <v>-52153.9</v>
      </c>
      <c r="J110" s="165">
        <f>F110/D110*100</f>
        <v>27.972404238082362</v>
      </c>
      <c r="K110" s="165"/>
      <c r="L110" s="165"/>
      <c r="M110" s="266"/>
      <c r="N110" s="264"/>
      <c r="O110" s="264"/>
      <c r="P110" s="265"/>
      <c r="Q110" s="265"/>
      <c r="R110" s="268"/>
      <c r="S110" s="268"/>
      <c r="T110" s="268"/>
      <c r="U110" s="96"/>
    </row>
    <row r="111" spans="2:21" ht="23.25" customHeight="1" hidden="1">
      <c r="B111" s="14" t="s">
        <v>31</v>
      </c>
      <c r="C111" s="65"/>
      <c r="D111" s="189">
        <f>D88+D110</f>
        <v>318064.25</v>
      </c>
      <c r="E111" s="189">
        <f>E88+E110</f>
        <v>37417.86</v>
      </c>
      <c r="F111" s="189">
        <f>F88+F110</f>
        <v>24559.29</v>
      </c>
      <c r="G111" s="190">
        <f>F111-E111</f>
        <v>-12858.57</v>
      </c>
      <c r="H111" s="191">
        <f>F111/E111*100</f>
        <v>65.6352073581974</v>
      </c>
      <c r="I111" s="192">
        <f>F111-D111</f>
        <v>-293504.96</v>
      </c>
      <c r="J111" s="192">
        <f>F111/D111*100</f>
        <v>7.721487089479563</v>
      </c>
      <c r="K111" s="192">
        <v>3039.87</v>
      </c>
      <c r="L111" s="192">
        <f>F111-K111</f>
        <v>21519.420000000002</v>
      </c>
      <c r="M111" s="267">
        <f>F111/K111</f>
        <v>8.079059301878042</v>
      </c>
      <c r="N111" s="270"/>
      <c r="O111" s="270"/>
      <c r="P111" s="271"/>
      <c r="Q111" s="271"/>
      <c r="R111" s="269">
        <f>O111-8104.96</f>
        <v>-8104.96</v>
      </c>
      <c r="S111" s="269"/>
      <c r="T111" s="269"/>
      <c r="U111" s="94">
        <f>O111/8104.96</f>
        <v>0</v>
      </c>
    </row>
    <row r="112" spans="2:21" ht="17.25" hidden="1">
      <c r="B112" s="21" t="s">
        <v>170</v>
      </c>
      <c r="C112" s="65"/>
      <c r="D112" s="189">
        <f>D111+D67</f>
        <v>1675555.35</v>
      </c>
      <c r="E112" s="189">
        <f>E111+E67</f>
        <v>454834.95999999996</v>
      </c>
      <c r="F112" s="189">
        <f>F111+F67</f>
        <v>403570.06</v>
      </c>
      <c r="G112" s="190">
        <f>F112-E112</f>
        <v>-51264.899999999965</v>
      </c>
      <c r="H112" s="191">
        <f>F112/E112*100</f>
        <v>88.72890069839838</v>
      </c>
      <c r="I112" s="192">
        <f>F112-D112</f>
        <v>-1271985.29</v>
      </c>
      <c r="J112" s="192">
        <f>F112/D112*100</f>
        <v>24.085749241288866</v>
      </c>
      <c r="K112" s="192">
        <f>K89+K111</f>
        <v>325584.76</v>
      </c>
      <c r="L112" s="192">
        <f>F112-K112</f>
        <v>77985.29999999999</v>
      </c>
      <c r="M112" s="267">
        <f>F112/K112</f>
        <v>1.2395238032640101</v>
      </c>
      <c r="N112" s="272"/>
      <c r="O112" s="272"/>
      <c r="P112" s="271"/>
      <c r="Q112" s="271"/>
      <c r="R112" s="269">
        <f>O112-42872.96</f>
        <v>-42872.96</v>
      </c>
      <c r="S112" s="269"/>
      <c r="T112" s="269"/>
      <c r="U112" s="94">
        <f>O112/42872.96</f>
        <v>0</v>
      </c>
    </row>
    <row r="113" spans="2:21" ht="15" hidden="1">
      <c r="B113" s="238" t="s">
        <v>172</v>
      </c>
      <c r="C113" s="236">
        <v>40000000</v>
      </c>
      <c r="D113" s="241">
        <f aca="true" t="shared" si="27" ref="D113:F114">D114</f>
        <v>1222868.6900000002</v>
      </c>
      <c r="E113" s="241">
        <f t="shared" si="27"/>
        <v>550655.6</v>
      </c>
      <c r="F113" s="241">
        <f t="shared" si="27"/>
        <v>545829.08</v>
      </c>
      <c r="G113" s="241">
        <f aca="true" t="shared" si="28" ref="G113:G124">F113-E113</f>
        <v>-4826.520000000019</v>
      </c>
      <c r="H113" s="241">
        <f>F113/E113*100</f>
        <v>99.12349570221387</v>
      </c>
      <c r="I113" s="35">
        <f aca="true" t="shared" si="29" ref="I113:I124">F113-D113</f>
        <v>-677039.6100000002</v>
      </c>
      <c r="J113" s="35">
        <f>F113/D113*100</f>
        <v>44.63513412875097</v>
      </c>
      <c r="Q113" s="88"/>
      <c r="U113" s="4"/>
    </row>
    <row r="114" spans="2:21" ht="15" customHeight="1" hidden="1">
      <c r="B114" s="237" t="s">
        <v>142</v>
      </c>
      <c r="C114" s="236">
        <v>41000000</v>
      </c>
      <c r="D114" s="241">
        <f t="shared" si="27"/>
        <v>1222868.6900000002</v>
      </c>
      <c r="E114" s="241">
        <f t="shared" si="27"/>
        <v>550655.6</v>
      </c>
      <c r="F114" s="241">
        <f t="shared" si="27"/>
        <v>545829.08</v>
      </c>
      <c r="G114" s="241">
        <f t="shared" si="28"/>
        <v>-4826.520000000019</v>
      </c>
      <c r="H114" s="241">
        <f aca="true" t="shared" si="30" ref="H114:H124">IF(E114=0,0,F114/E114*100)</f>
        <v>99.12349570221387</v>
      </c>
      <c r="I114" s="35">
        <f t="shared" si="29"/>
        <v>-677039.6100000002</v>
      </c>
      <c r="J114" s="35">
        <f aca="true" t="shared" si="31" ref="J114:J124">F114/D114*100</f>
        <v>44.63513412875097</v>
      </c>
      <c r="Q114" s="88"/>
      <c r="U114" s="4"/>
    </row>
    <row r="115" spans="2:21" ht="15" hidden="1">
      <c r="B115" s="237" t="s">
        <v>143</v>
      </c>
      <c r="C115" s="236">
        <v>41030000</v>
      </c>
      <c r="D115" s="241">
        <f>SUM(D116:D123)</f>
        <v>1222868.6900000002</v>
      </c>
      <c r="E115" s="241">
        <f>SUM(E116:E123)</f>
        <v>550655.6</v>
      </c>
      <c r="F115" s="241">
        <f>SUM(F116:F123)</f>
        <v>545829.08</v>
      </c>
      <c r="G115" s="241">
        <f t="shared" si="28"/>
        <v>-4826.520000000019</v>
      </c>
      <c r="H115" s="241">
        <f t="shared" si="30"/>
        <v>99.12349570221387</v>
      </c>
      <c r="I115" s="35">
        <f t="shared" si="29"/>
        <v>-677039.6100000002</v>
      </c>
      <c r="J115" s="35">
        <f t="shared" si="31"/>
        <v>44.63513412875097</v>
      </c>
      <c r="Q115" s="88"/>
      <c r="U115" s="4"/>
    </row>
    <row r="116" spans="2:21" ht="63.75" hidden="1">
      <c r="B116" s="237" t="s">
        <v>166</v>
      </c>
      <c r="C116" s="236">
        <v>41030600</v>
      </c>
      <c r="D116" s="241">
        <v>311813.4</v>
      </c>
      <c r="E116" s="241">
        <v>74842.5</v>
      </c>
      <c r="F116" s="241">
        <v>71108.47</v>
      </c>
      <c r="G116" s="241">
        <f t="shared" si="28"/>
        <v>-3734.029999999999</v>
      </c>
      <c r="H116" s="241">
        <f t="shared" si="30"/>
        <v>95.0108160470321</v>
      </c>
      <c r="I116" s="35">
        <f t="shared" si="29"/>
        <v>-240704.93000000002</v>
      </c>
      <c r="J116" s="35">
        <f t="shared" si="31"/>
        <v>22.80481531582671</v>
      </c>
      <c r="Q116" s="88"/>
      <c r="U116" s="4"/>
    </row>
    <row r="117" spans="2:21" ht="63.75" hidden="1">
      <c r="B117" s="237" t="s">
        <v>147</v>
      </c>
      <c r="C117" s="236">
        <v>41030800</v>
      </c>
      <c r="D117" s="241">
        <v>408648.2</v>
      </c>
      <c r="E117" s="241">
        <v>354918.91</v>
      </c>
      <c r="F117" s="241">
        <v>354211.24</v>
      </c>
      <c r="G117" s="241">
        <f t="shared" si="28"/>
        <v>-707.6699999999837</v>
      </c>
      <c r="H117" s="241">
        <f t="shared" si="30"/>
        <v>99.80061079304002</v>
      </c>
      <c r="I117" s="35">
        <f t="shared" si="29"/>
        <v>-54436.96000000002</v>
      </c>
      <c r="J117" s="35">
        <f t="shared" si="31"/>
        <v>86.67877161822808</v>
      </c>
      <c r="Q117" s="88"/>
      <c r="U117" s="4"/>
    </row>
    <row r="118" spans="2:21" ht="51.75" hidden="1">
      <c r="B118" s="237" t="s">
        <v>167</v>
      </c>
      <c r="C118" s="236">
        <v>41031000</v>
      </c>
      <c r="D118" s="241">
        <v>227.7</v>
      </c>
      <c r="E118" s="241">
        <v>57</v>
      </c>
      <c r="F118" s="241">
        <v>40.84</v>
      </c>
      <c r="G118" s="241">
        <f t="shared" si="28"/>
        <v>-16.159999999999997</v>
      </c>
      <c r="H118" s="241">
        <f t="shared" si="30"/>
        <v>71.64912280701755</v>
      </c>
      <c r="I118" s="35">
        <f t="shared" si="29"/>
        <v>-186.85999999999999</v>
      </c>
      <c r="J118" s="35">
        <f t="shared" si="31"/>
        <v>17.9358805445762</v>
      </c>
      <c r="Q118" s="88"/>
      <c r="U118" s="4"/>
    </row>
    <row r="119" spans="2:21" ht="26.25" hidden="1">
      <c r="B119" s="237" t="s">
        <v>148</v>
      </c>
      <c r="C119" s="236">
        <v>41033900</v>
      </c>
      <c r="D119" s="241">
        <v>243334.5</v>
      </c>
      <c r="E119" s="241">
        <v>56191.6</v>
      </c>
      <c r="F119" s="241">
        <v>56191.6</v>
      </c>
      <c r="G119" s="241">
        <f t="shared" si="28"/>
        <v>0</v>
      </c>
      <c r="H119" s="241">
        <f t="shared" si="30"/>
        <v>100</v>
      </c>
      <c r="I119" s="35">
        <f t="shared" si="29"/>
        <v>-187142.9</v>
      </c>
      <c r="J119" s="35">
        <f t="shared" si="31"/>
        <v>23.092327639525013</v>
      </c>
      <c r="Q119" s="88"/>
      <c r="U119" s="4"/>
    </row>
    <row r="120" spans="2:21" ht="26.25" hidden="1">
      <c r="B120" s="237" t="s">
        <v>149</v>
      </c>
      <c r="C120" s="236">
        <v>41034200</v>
      </c>
      <c r="D120" s="241">
        <v>238249.5</v>
      </c>
      <c r="E120" s="241">
        <v>59541.9</v>
      </c>
      <c r="F120" s="241">
        <v>59541.9</v>
      </c>
      <c r="G120" s="241">
        <f t="shared" si="28"/>
        <v>0</v>
      </c>
      <c r="H120" s="241">
        <f t="shared" si="30"/>
        <v>100</v>
      </c>
      <c r="I120" s="35">
        <f t="shared" si="29"/>
        <v>-178707.6</v>
      </c>
      <c r="J120" s="35">
        <f t="shared" si="31"/>
        <v>24.991406068008537</v>
      </c>
      <c r="Q120" s="88"/>
      <c r="U120" s="4"/>
    </row>
    <row r="121" spans="2:21" ht="15" hidden="1">
      <c r="B121" s="237" t="s">
        <v>144</v>
      </c>
      <c r="C121" s="236">
        <v>41035000</v>
      </c>
      <c r="D121" s="241">
        <v>16239.09</v>
      </c>
      <c r="E121" s="241">
        <v>4193.79</v>
      </c>
      <c r="F121" s="241">
        <v>3733.65</v>
      </c>
      <c r="G121" s="241">
        <f t="shared" si="28"/>
        <v>-460.1399999999999</v>
      </c>
      <c r="H121" s="241">
        <f t="shared" si="30"/>
        <v>89.02806292160552</v>
      </c>
      <c r="I121" s="35">
        <f t="shared" si="29"/>
        <v>-12505.44</v>
      </c>
      <c r="J121" s="35">
        <f t="shared" si="31"/>
        <v>22.99174399550714</v>
      </c>
      <c r="Q121" s="88"/>
      <c r="U121" s="4"/>
    </row>
    <row r="122" spans="2:21" ht="39" hidden="1">
      <c r="B122" s="237" t="s">
        <v>169</v>
      </c>
      <c r="C122" s="236">
        <v>41035400</v>
      </c>
      <c r="D122" s="241">
        <v>0</v>
      </c>
      <c r="E122" s="241">
        <v>0</v>
      </c>
      <c r="F122" s="241">
        <v>165.7</v>
      </c>
      <c r="G122" s="241">
        <f t="shared" si="28"/>
        <v>165.7</v>
      </c>
      <c r="H122" s="241">
        <f t="shared" si="30"/>
        <v>0</v>
      </c>
      <c r="I122" s="35">
        <f t="shared" si="29"/>
        <v>165.7</v>
      </c>
      <c r="J122" s="35" t="e">
        <f t="shared" si="31"/>
        <v>#DIV/0!</v>
      </c>
      <c r="Q122" s="88"/>
      <c r="U122" s="4"/>
    </row>
    <row r="123" spans="2:21" ht="63.75" hidden="1">
      <c r="B123" s="237" t="s">
        <v>168</v>
      </c>
      <c r="C123" s="236">
        <v>41035800</v>
      </c>
      <c r="D123" s="241">
        <v>4356.3</v>
      </c>
      <c r="E123" s="241">
        <v>909.9</v>
      </c>
      <c r="F123" s="241">
        <v>835.68</v>
      </c>
      <c r="G123" s="241">
        <f t="shared" si="28"/>
        <v>-74.22000000000003</v>
      </c>
      <c r="H123" s="241">
        <f t="shared" si="30"/>
        <v>91.84305967688756</v>
      </c>
      <c r="I123" s="35">
        <f t="shared" si="29"/>
        <v>-3520.6200000000003</v>
      </c>
      <c r="J123" s="35">
        <f t="shared" si="31"/>
        <v>19.183251842159628</v>
      </c>
      <c r="Q123" s="88"/>
      <c r="U123" s="4"/>
    </row>
    <row r="124" spans="2:17" s="239" customFormat="1" ht="25.5" customHeight="1" hidden="1">
      <c r="B124" s="273" t="s">
        <v>146</v>
      </c>
      <c r="C124" s="274"/>
      <c r="D124" s="275">
        <f>D112+D113</f>
        <v>2898424.04</v>
      </c>
      <c r="E124" s="275">
        <f>E112+E113</f>
        <v>1005490.5599999999</v>
      </c>
      <c r="F124" s="275">
        <f>F112+F113</f>
        <v>949399.1399999999</v>
      </c>
      <c r="G124" s="276">
        <f t="shared" si="28"/>
        <v>-56091.42000000004</v>
      </c>
      <c r="H124" s="275">
        <f t="shared" si="30"/>
        <v>94.42148715946173</v>
      </c>
      <c r="I124" s="277">
        <f t="shared" si="29"/>
        <v>-1949024.9000000001</v>
      </c>
      <c r="J124" s="277">
        <f t="shared" si="31"/>
        <v>32.75570195726088</v>
      </c>
      <c r="Q124" s="240"/>
    </row>
    <row r="125" ht="15" hidden="1"/>
    <row r="126" ht="15" hidden="1"/>
  </sheetData>
  <sheetProtection/>
  <mergeCells count="38">
    <mergeCell ref="B99:C99"/>
    <mergeCell ref="G99:H99"/>
    <mergeCell ref="O101:P101"/>
    <mergeCell ref="G96:H96"/>
    <mergeCell ref="J96:N96"/>
    <mergeCell ref="B97:C97"/>
    <mergeCell ref="G97:H97"/>
    <mergeCell ref="J97:N97"/>
    <mergeCell ref="O94:P94"/>
    <mergeCell ref="G95:H95"/>
    <mergeCell ref="J95:N95"/>
    <mergeCell ref="O95:P95"/>
    <mergeCell ref="R5:S5"/>
    <mergeCell ref="T5:U5"/>
    <mergeCell ref="F4:F5"/>
    <mergeCell ref="G4:G5"/>
    <mergeCell ref="H4:H5"/>
    <mergeCell ref="I4:I5"/>
    <mergeCell ref="J4:J5"/>
    <mergeCell ref="G98:H98"/>
    <mergeCell ref="G94:H94"/>
    <mergeCell ref="J94:N94"/>
    <mergeCell ref="O3:U3"/>
    <mergeCell ref="P4:P5"/>
    <mergeCell ref="Q4:Q5"/>
    <mergeCell ref="K5:M5"/>
    <mergeCell ref="G92:J92"/>
    <mergeCell ref="O93:P93"/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</mergeCells>
  <printOptions/>
  <pageMargins left="0" right="0" top="0" bottom="0" header="0" footer="0"/>
  <pageSetup fitToHeight="1" fitToWidth="1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4"/>
  <sheetViews>
    <sheetView zoomScale="79" zoomScaleNormal="79" zoomScalePageLayoutView="0" workbookViewId="0" topLeftCell="B1">
      <pane xSplit="2" ySplit="8" topLeftCell="D8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99" sqref="A99:IV13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8" hidden="1" customWidth="1"/>
    <col min="20" max="20" width="11.50390625" style="28" hidden="1" customWidth="1"/>
    <col min="21" max="21" width="9.125" style="248" hidden="1" customWidth="1"/>
    <col min="22" max="23" width="0" style="77" hidden="1" customWidth="1"/>
    <col min="24" max="16384" width="9.125" style="4" customWidth="1"/>
  </cols>
  <sheetData>
    <row r="1" spans="1:23" s="1" customFormat="1" ht="26.25" customHeight="1">
      <c r="A1" s="287" t="s">
        <v>174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85"/>
      <c r="S1" s="86"/>
      <c r="T1" s="244"/>
      <c r="U1" s="247"/>
      <c r="V1" s="257"/>
      <c r="W1" s="257"/>
    </row>
    <row r="2" spans="2:23" s="1" customFormat="1" ht="15.75" customHeight="1">
      <c r="B2" s="288"/>
      <c r="C2" s="288"/>
      <c r="D2" s="288"/>
      <c r="E2" s="2"/>
      <c r="F2" s="111"/>
      <c r="G2" s="2"/>
      <c r="H2" s="2"/>
      <c r="M2" s="1" t="s">
        <v>24</v>
      </c>
      <c r="Q2" s="17" t="s">
        <v>24</v>
      </c>
      <c r="R2" s="17"/>
      <c r="S2" s="87"/>
      <c r="T2" s="244"/>
      <c r="U2" s="247"/>
      <c r="V2" s="257"/>
      <c r="W2" s="257"/>
    </row>
    <row r="3" spans="1:23" s="3" customFormat="1" ht="13.5" customHeight="1">
      <c r="A3" s="289"/>
      <c r="B3" s="291"/>
      <c r="C3" s="292" t="s">
        <v>0</v>
      </c>
      <c r="D3" s="293" t="s">
        <v>138</v>
      </c>
      <c r="E3" s="31"/>
      <c r="F3" s="294" t="s">
        <v>26</v>
      </c>
      <c r="G3" s="295"/>
      <c r="H3" s="295"/>
      <c r="I3" s="295"/>
      <c r="J3" s="296"/>
      <c r="K3" s="82"/>
      <c r="L3" s="82"/>
      <c r="M3" s="82"/>
      <c r="N3" s="297" t="s">
        <v>151</v>
      </c>
      <c r="O3" s="300" t="s">
        <v>152</v>
      </c>
      <c r="P3" s="300"/>
      <c r="Q3" s="300"/>
      <c r="R3" s="300"/>
      <c r="S3" s="300"/>
      <c r="T3" s="112" t="s">
        <v>163</v>
      </c>
      <c r="U3" s="112" t="s">
        <v>163</v>
      </c>
      <c r="V3" s="258" t="s">
        <v>163</v>
      </c>
      <c r="W3" s="258" t="s">
        <v>163</v>
      </c>
    </row>
    <row r="4" spans="1:22" ht="22.5" customHeight="1">
      <c r="A4" s="289"/>
      <c r="B4" s="291"/>
      <c r="C4" s="292"/>
      <c r="D4" s="293"/>
      <c r="E4" s="283" t="s">
        <v>141</v>
      </c>
      <c r="F4" s="309" t="s">
        <v>33</v>
      </c>
      <c r="G4" s="301" t="s">
        <v>150</v>
      </c>
      <c r="H4" s="298" t="s">
        <v>165</v>
      </c>
      <c r="I4" s="301" t="s">
        <v>125</v>
      </c>
      <c r="J4" s="298" t="s">
        <v>126</v>
      </c>
      <c r="K4" s="84" t="s">
        <v>128</v>
      </c>
      <c r="L4" s="202" t="s">
        <v>111</v>
      </c>
      <c r="M4" s="89" t="s">
        <v>63</v>
      </c>
      <c r="N4" s="298"/>
      <c r="O4" s="285" t="s">
        <v>175</v>
      </c>
      <c r="P4" s="301" t="s">
        <v>49</v>
      </c>
      <c r="Q4" s="303" t="s">
        <v>48</v>
      </c>
      <c r="R4" s="90" t="s">
        <v>64</v>
      </c>
      <c r="S4" s="91" t="s">
        <v>63</v>
      </c>
      <c r="T4" s="28" t="s">
        <v>162</v>
      </c>
      <c r="U4" s="248" t="s">
        <v>162</v>
      </c>
      <c r="V4" s="77" t="s">
        <v>164</v>
      </c>
    </row>
    <row r="5" spans="1:23" ht="67.5" customHeight="1">
      <c r="A5" s="290"/>
      <c r="B5" s="291"/>
      <c r="C5" s="292"/>
      <c r="D5" s="293"/>
      <c r="E5" s="284"/>
      <c r="F5" s="310"/>
      <c r="G5" s="302"/>
      <c r="H5" s="299"/>
      <c r="I5" s="302"/>
      <c r="J5" s="299"/>
      <c r="K5" s="304" t="s">
        <v>157</v>
      </c>
      <c r="L5" s="305"/>
      <c r="M5" s="306"/>
      <c r="N5" s="299"/>
      <c r="O5" s="286"/>
      <c r="P5" s="302"/>
      <c r="Q5" s="303"/>
      <c r="R5" s="304" t="s">
        <v>102</v>
      </c>
      <c r="S5" s="306"/>
      <c r="T5" s="28" t="s">
        <v>155</v>
      </c>
      <c r="U5" s="248" t="s">
        <v>156</v>
      </c>
      <c r="V5" s="77" t="s">
        <v>155</v>
      </c>
      <c r="W5" s="259" t="s">
        <v>156</v>
      </c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23" s="6" customFormat="1" ht="17.25">
      <c r="A8" s="7"/>
      <c r="B8" s="152" t="s">
        <v>9</v>
      </c>
      <c r="C8" s="69" t="s">
        <v>10</v>
      </c>
      <c r="D8" s="149">
        <f>D9+D15+D18+D19+D23+D40+D17</f>
        <v>1298451.1</v>
      </c>
      <c r="E8" s="149">
        <f>E9+E15+E18+E19+E23+E40+E17+E21+E22</f>
        <v>292539.5</v>
      </c>
      <c r="F8" s="149">
        <f>F9+F15+F18+F19+F23+F40</f>
        <v>293545.81999999995</v>
      </c>
      <c r="G8" s="149">
        <f aca="true" t="shared" si="0" ref="G8:G40">F8-E8</f>
        <v>1006.3199999999488</v>
      </c>
      <c r="H8" s="150">
        <f>F8/E8*100</f>
        <v>100.3439945716732</v>
      </c>
      <c r="I8" s="151">
        <f>F8-D8</f>
        <v>-1004905.2800000001</v>
      </c>
      <c r="J8" s="151">
        <f>F8/D8*100</f>
        <v>22.607383520257322</v>
      </c>
      <c r="K8" s="149">
        <v>209787.72</v>
      </c>
      <c r="L8" s="149">
        <f aca="true" t="shared" si="1" ref="L8:L54">F8-K8</f>
        <v>83758.09999999995</v>
      </c>
      <c r="M8" s="203">
        <f aca="true" t="shared" si="2" ref="M8:M31">F8/K8</f>
        <v>1.3992516816522909</v>
      </c>
      <c r="N8" s="149">
        <f>N9+N15+N18+N19+N23+N17</f>
        <v>96294</v>
      </c>
      <c r="O8" s="149">
        <f>O9+O15+O18+O19+O23+O17</f>
        <v>98714.34999999998</v>
      </c>
      <c r="P8" s="149">
        <f>O8-N8</f>
        <v>2420.3499999999767</v>
      </c>
      <c r="Q8" s="149">
        <f>O8/N8*100</f>
        <v>102.51350032193074</v>
      </c>
      <c r="R8" s="15" t="e">
        <f>#N/A</f>
        <v>#N/A</v>
      </c>
      <c r="S8" s="15" t="e">
        <f>#N/A</f>
        <v>#N/A</v>
      </c>
      <c r="T8" s="145"/>
      <c r="U8" s="245"/>
      <c r="V8" s="131"/>
      <c r="W8" s="131"/>
    </row>
    <row r="9" spans="1:23" s="6" customFormat="1" ht="18">
      <c r="A9" s="8"/>
      <c r="B9" s="13" t="s">
        <v>79</v>
      </c>
      <c r="C9" s="42">
        <v>11010000</v>
      </c>
      <c r="D9" s="148">
        <v>766645</v>
      </c>
      <c r="E9" s="148">
        <f>159160+2700</f>
        <v>161860</v>
      </c>
      <c r="F9" s="154">
        <v>162187.36</v>
      </c>
      <c r="G9" s="148">
        <f t="shared" si="0"/>
        <v>327.35999999998603</v>
      </c>
      <c r="H9" s="155">
        <f>F9/E9*100</f>
        <v>100.20224885703695</v>
      </c>
      <c r="I9" s="156">
        <f>F9-D9</f>
        <v>-604457.64</v>
      </c>
      <c r="J9" s="156">
        <f>F9/D9*100</f>
        <v>21.15547091548239</v>
      </c>
      <c r="K9" s="225">
        <v>112281.82</v>
      </c>
      <c r="L9" s="157">
        <f t="shared" si="1"/>
        <v>49905.53999999998</v>
      </c>
      <c r="M9" s="204">
        <f t="shared" si="2"/>
        <v>1.444466789013573</v>
      </c>
      <c r="N9" s="155">
        <f>E9-лютий!E9</f>
        <v>59660</v>
      </c>
      <c r="O9" s="158">
        <f>F9-лютий!F9</f>
        <v>60301.419999999984</v>
      </c>
      <c r="P9" s="159">
        <f>O9-N9</f>
        <v>641.4199999999837</v>
      </c>
      <c r="Q9" s="156">
        <f>O9/N9*100</f>
        <v>101.07512571237007</v>
      </c>
      <c r="R9" s="99"/>
      <c r="S9" s="100"/>
      <c r="T9" s="145">
        <v>58776</v>
      </c>
      <c r="U9" s="245">
        <f>O9-T9</f>
        <v>1525.4199999999837</v>
      </c>
      <c r="V9" s="131">
        <v>160661.9</v>
      </c>
      <c r="W9" s="263">
        <f>F9-V9</f>
        <v>1525.4599999999919</v>
      </c>
    </row>
    <row r="10" spans="1:23" s="6" customFormat="1" ht="15" hidden="1">
      <c r="A10" s="8"/>
      <c r="B10" s="120" t="s">
        <v>89</v>
      </c>
      <c r="C10" s="101">
        <v>11010100</v>
      </c>
      <c r="D10" s="102">
        <v>701317</v>
      </c>
      <c r="E10" s="102">
        <f>143812+2700</f>
        <v>146512</v>
      </c>
      <c r="F10" s="138">
        <v>148315.37</v>
      </c>
      <c r="G10" s="102">
        <f t="shared" si="0"/>
        <v>1803.3699999999953</v>
      </c>
      <c r="H10" s="29">
        <f aca="true" t="shared" si="3" ref="H10:H39">F10/E10*100</f>
        <v>101.23086846128643</v>
      </c>
      <c r="I10" s="103">
        <f aca="true" t="shared" si="4" ref="I10:I40">F10-D10</f>
        <v>-553001.63</v>
      </c>
      <c r="J10" s="103">
        <f aca="true" t="shared" si="5" ref="J10:J39">F10/D10*100</f>
        <v>21.14812132031592</v>
      </c>
      <c r="K10" s="105">
        <v>98464.38</v>
      </c>
      <c r="L10" s="105">
        <f t="shared" si="1"/>
        <v>49850.98999999999</v>
      </c>
      <c r="M10" s="205">
        <f t="shared" si="2"/>
        <v>1.5062845061330807</v>
      </c>
      <c r="N10" s="104">
        <f>E10-лютий!E10</f>
        <v>54164</v>
      </c>
      <c r="O10" s="142">
        <f>F10-лютий!F10</f>
        <v>55588.729999999996</v>
      </c>
      <c r="P10" s="105">
        <f aca="true" t="shared" si="6" ref="P10:P40">O10-N10</f>
        <v>1424.729999999996</v>
      </c>
      <c r="Q10" s="103">
        <f aca="true" t="shared" si="7" ref="Q10:Q27">O10/N10*100</f>
        <v>102.63040026585924</v>
      </c>
      <c r="R10" s="36"/>
      <c r="S10" s="93"/>
      <c r="T10" s="145"/>
      <c r="U10" s="245">
        <f aca="true" t="shared" si="8" ref="U10:U42">O10-T10</f>
        <v>55588.729999999996</v>
      </c>
      <c r="V10" s="131"/>
      <c r="W10" s="262"/>
    </row>
    <row r="11" spans="1:23" s="6" customFormat="1" ht="15" hidden="1">
      <c r="A11" s="8"/>
      <c r="B11" s="120" t="s">
        <v>85</v>
      </c>
      <c r="C11" s="101">
        <v>11010200</v>
      </c>
      <c r="D11" s="102">
        <v>46506</v>
      </c>
      <c r="E11" s="102">
        <v>10800</v>
      </c>
      <c r="F11" s="138">
        <v>9104.48</v>
      </c>
      <c r="G11" s="102">
        <f t="shared" si="0"/>
        <v>-1695.5200000000004</v>
      </c>
      <c r="H11" s="29">
        <f t="shared" si="3"/>
        <v>84.30074074074074</v>
      </c>
      <c r="I11" s="103">
        <f t="shared" si="4"/>
        <v>-37401.520000000004</v>
      </c>
      <c r="J11" s="103">
        <f t="shared" si="5"/>
        <v>19.57700081709887</v>
      </c>
      <c r="K11" s="105">
        <v>8077.11</v>
      </c>
      <c r="L11" s="105">
        <f t="shared" si="1"/>
        <v>1027.37</v>
      </c>
      <c r="M11" s="205">
        <f t="shared" si="2"/>
        <v>1.1271952468147641</v>
      </c>
      <c r="N11" s="104">
        <f>E11-лютий!E11</f>
        <v>3600</v>
      </c>
      <c r="O11" s="142">
        <f>F11-лютий!F11</f>
        <v>3209.2199999999993</v>
      </c>
      <c r="P11" s="105">
        <f t="shared" si="6"/>
        <v>-390.78000000000065</v>
      </c>
      <c r="Q11" s="103">
        <f t="shared" si="7"/>
        <v>89.14499999999998</v>
      </c>
      <c r="R11" s="36"/>
      <c r="S11" s="93"/>
      <c r="T11" s="145"/>
      <c r="U11" s="245">
        <f t="shared" si="8"/>
        <v>3209.2199999999993</v>
      </c>
      <c r="V11" s="131"/>
      <c r="W11" s="262"/>
    </row>
    <row r="12" spans="1:23" s="6" customFormat="1" ht="15" hidden="1">
      <c r="A12" s="8"/>
      <c r="B12" s="120" t="s">
        <v>88</v>
      </c>
      <c r="C12" s="101">
        <v>11010400</v>
      </c>
      <c r="D12" s="102">
        <v>8280</v>
      </c>
      <c r="E12" s="102">
        <v>1740</v>
      </c>
      <c r="F12" s="138">
        <v>1764.69</v>
      </c>
      <c r="G12" s="102">
        <f t="shared" si="0"/>
        <v>24.690000000000055</v>
      </c>
      <c r="H12" s="29">
        <f t="shared" si="3"/>
        <v>101.41896551724139</v>
      </c>
      <c r="I12" s="103">
        <f t="shared" si="4"/>
        <v>-6515.3099999999995</v>
      </c>
      <c r="J12" s="103">
        <f t="shared" si="5"/>
        <v>21.31268115942029</v>
      </c>
      <c r="K12" s="105">
        <v>2379.47</v>
      </c>
      <c r="L12" s="105">
        <f t="shared" si="1"/>
        <v>-614.7799999999997</v>
      </c>
      <c r="M12" s="205">
        <f t="shared" si="2"/>
        <v>0.7416315397966775</v>
      </c>
      <c r="N12" s="104">
        <f>E12-лютий!E12</f>
        <v>900</v>
      </c>
      <c r="O12" s="142">
        <f>F12-лютий!F12</f>
        <v>727.27</v>
      </c>
      <c r="P12" s="105">
        <f t="shared" si="6"/>
        <v>-172.73000000000002</v>
      </c>
      <c r="Q12" s="103">
        <f t="shared" si="7"/>
        <v>80.80777777777777</v>
      </c>
      <c r="R12" s="36"/>
      <c r="S12" s="93"/>
      <c r="T12" s="145"/>
      <c r="U12" s="245">
        <f t="shared" si="8"/>
        <v>727.27</v>
      </c>
      <c r="V12" s="131"/>
      <c r="W12" s="262"/>
    </row>
    <row r="13" spans="1:23" s="6" customFormat="1" ht="15" hidden="1">
      <c r="A13" s="8"/>
      <c r="B13" s="120" t="s">
        <v>86</v>
      </c>
      <c r="C13" s="101">
        <v>11010500</v>
      </c>
      <c r="D13" s="102">
        <v>9390</v>
      </c>
      <c r="E13" s="102">
        <v>2520</v>
      </c>
      <c r="F13" s="138">
        <v>2629.16</v>
      </c>
      <c r="G13" s="102">
        <f t="shared" si="0"/>
        <v>109.15999999999985</v>
      </c>
      <c r="H13" s="29">
        <f t="shared" si="3"/>
        <v>104.33174603174602</v>
      </c>
      <c r="I13" s="103">
        <f t="shared" si="4"/>
        <v>-6760.84</v>
      </c>
      <c r="J13" s="103">
        <f t="shared" si="5"/>
        <v>27.999574014909477</v>
      </c>
      <c r="K13" s="105">
        <v>2424.94</v>
      </c>
      <c r="L13" s="105">
        <f t="shared" si="1"/>
        <v>204.2199999999998</v>
      </c>
      <c r="M13" s="205">
        <f t="shared" si="2"/>
        <v>1.0842165166973203</v>
      </c>
      <c r="N13" s="104">
        <f>E13-лютий!E13</f>
        <v>900</v>
      </c>
      <c r="O13" s="142">
        <f>F13-лютий!F13</f>
        <v>600.8399999999999</v>
      </c>
      <c r="P13" s="105">
        <f t="shared" si="6"/>
        <v>-299.1600000000001</v>
      </c>
      <c r="Q13" s="103">
        <f t="shared" si="7"/>
        <v>66.75999999999999</v>
      </c>
      <c r="R13" s="36"/>
      <c r="S13" s="93"/>
      <c r="T13" s="145"/>
      <c r="U13" s="245">
        <f t="shared" si="8"/>
        <v>600.8399999999999</v>
      </c>
      <c r="V13" s="131"/>
      <c r="W13" s="262"/>
    </row>
    <row r="14" spans="1:23" s="6" customFormat="1" ht="15" hidden="1">
      <c r="A14" s="8"/>
      <c r="B14" s="120" t="s">
        <v>87</v>
      </c>
      <c r="C14" s="101">
        <v>11010900</v>
      </c>
      <c r="D14" s="102">
        <v>1152</v>
      </c>
      <c r="E14" s="102">
        <v>288</v>
      </c>
      <c r="F14" s="138">
        <v>373.67</v>
      </c>
      <c r="G14" s="102">
        <f t="shared" si="0"/>
        <v>85.67000000000002</v>
      </c>
      <c r="H14" s="29">
        <f t="shared" si="3"/>
        <v>129.74652777777777</v>
      </c>
      <c r="I14" s="103">
        <f t="shared" si="4"/>
        <v>-778.3299999999999</v>
      </c>
      <c r="J14" s="103">
        <f t="shared" si="5"/>
        <v>32.43663194444444</v>
      </c>
      <c r="K14" s="105">
        <v>935.92</v>
      </c>
      <c r="L14" s="105">
        <f t="shared" si="1"/>
        <v>-562.25</v>
      </c>
      <c r="M14" s="205">
        <f t="shared" si="2"/>
        <v>0.3992542097615181</v>
      </c>
      <c r="N14" s="104">
        <f>E14-лютий!E14</f>
        <v>96</v>
      </c>
      <c r="O14" s="142">
        <f>F14-лютий!F14</f>
        <v>175.36</v>
      </c>
      <c r="P14" s="105">
        <f t="shared" si="6"/>
        <v>79.36000000000001</v>
      </c>
      <c r="Q14" s="103">
        <f t="shared" si="7"/>
        <v>182.66666666666669</v>
      </c>
      <c r="R14" s="36"/>
      <c r="S14" s="93"/>
      <c r="T14" s="245"/>
      <c r="U14" s="245">
        <f t="shared" si="8"/>
        <v>175.36</v>
      </c>
      <c r="V14" s="131"/>
      <c r="W14" s="262"/>
    </row>
    <row r="15" spans="1:23" s="6" customFormat="1" ht="30.75">
      <c r="A15" s="8"/>
      <c r="B15" s="12" t="s">
        <v>11</v>
      </c>
      <c r="C15" s="42">
        <v>11020200</v>
      </c>
      <c r="D15" s="148">
        <v>551</v>
      </c>
      <c r="E15" s="148">
        <v>171</v>
      </c>
      <c r="F15" s="154">
        <v>-366.42</v>
      </c>
      <c r="G15" s="148">
        <f t="shared" si="0"/>
        <v>-537.4200000000001</v>
      </c>
      <c r="H15" s="155">
        <f>F15/E15*100</f>
        <v>-214.28070175438597</v>
      </c>
      <c r="I15" s="156">
        <f t="shared" si="4"/>
        <v>-917.4200000000001</v>
      </c>
      <c r="J15" s="156">
        <f t="shared" si="5"/>
        <v>-66.50090744101634</v>
      </c>
      <c r="K15" s="159">
        <v>185.06</v>
      </c>
      <c r="L15" s="159">
        <f t="shared" si="1"/>
        <v>-551.48</v>
      </c>
      <c r="M15" s="206">
        <f t="shared" si="2"/>
        <v>-1.9800064843834433</v>
      </c>
      <c r="N15" s="162">
        <f>E15-лютий!E15</f>
        <v>120</v>
      </c>
      <c r="O15" s="166">
        <f>F15-лютий!F15</f>
        <v>-380.33000000000004</v>
      </c>
      <c r="P15" s="159">
        <f t="shared" si="6"/>
        <v>-500.33000000000004</v>
      </c>
      <c r="Q15" s="156">
        <f t="shared" si="7"/>
        <v>-316.9416666666667</v>
      </c>
      <c r="R15" s="36"/>
      <c r="S15" s="93"/>
      <c r="T15" s="145">
        <v>-377.2</v>
      </c>
      <c r="U15" s="245">
        <f t="shared" si="8"/>
        <v>-3.1300000000000523</v>
      </c>
      <c r="V15" s="131"/>
      <c r="W15" s="262"/>
    </row>
    <row r="16" spans="1:23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62">
        <f>E16-лютий!E16</f>
        <v>0</v>
      </c>
      <c r="O16" s="166">
        <f>F16-лютий!F16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108">
        <f>O16/358.79</f>
        <v>0</v>
      </c>
      <c r="T16" s="145"/>
      <c r="U16" s="245">
        <f t="shared" si="8"/>
        <v>0</v>
      </c>
      <c r="V16" s="131"/>
      <c r="W16" s="262"/>
    </row>
    <row r="17" spans="1:23" s="6" customFormat="1" ht="30.75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55" t="e">
        <f>F17/E17/100</f>
        <v>#DIV/0!</v>
      </c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>
        <f t="shared" si="2"/>
        <v>0</v>
      </c>
      <c r="N17" s="162">
        <f>E17-лютий!E17</f>
        <v>0</v>
      </c>
      <c r="O17" s="166">
        <f>F17-лютий!F17</f>
        <v>0</v>
      </c>
      <c r="P17" s="165">
        <f t="shared" si="6"/>
        <v>0</v>
      </c>
      <c r="Q17" s="156" t="e">
        <f t="shared" si="7"/>
        <v>#DIV/0!</v>
      </c>
      <c r="R17" s="103"/>
      <c r="S17" s="108"/>
      <c r="T17" s="145"/>
      <c r="U17" s="245">
        <f t="shared" si="8"/>
        <v>0</v>
      </c>
      <c r="V17" s="131"/>
      <c r="W17" s="262"/>
    </row>
    <row r="18" spans="1:23" s="6" customFormat="1" ht="30.75">
      <c r="A18" s="8"/>
      <c r="B18" s="13" t="s">
        <v>114</v>
      </c>
      <c r="C18" s="42">
        <v>13030200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62">
        <f>E18-лютий!E18</f>
        <v>0</v>
      </c>
      <c r="O18" s="166">
        <f>F18-лютий!F18</f>
        <v>0</v>
      </c>
      <c r="P18" s="159">
        <f t="shared" si="6"/>
        <v>0</v>
      </c>
      <c r="Q18" s="156"/>
      <c r="R18" s="36"/>
      <c r="S18" s="93"/>
      <c r="T18" s="145"/>
      <c r="U18" s="245"/>
      <c r="V18" s="131"/>
      <c r="W18" s="262"/>
    </row>
    <row r="19" spans="1:23" s="6" customFormat="1" ht="18">
      <c r="A19" s="8"/>
      <c r="B19" s="13" t="s">
        <v>160</v>
      </c>
      <c r="C19" s="42"/>
      <c r="D19" s="148">
        <f>D20+D21+D22</f>
        <v>130000</v>
      </c>
      <c r="E19" s="148">
        <f>E20+E21+E22</f>
        <v>27800</v>
      </c>
      <c r="F19" s="154">
        <v>27633.86</v>
      </c>
      <c r="G19" s="160">
        <f t="shared" si="0"/>
        <v>-166.13999999999942</v>
      </c>
      <c r="H19" s="162">
        <f t="shared" si="3"/>
        <v>99.40237410071943</v>
      </c>
      <c r="I19" s="163">
        <f t="shared" si="4"/>
        <v>-102366.14</v>
      </c>
      <c r="J19" s="163">
        <f t="shared" si="5"/>
        <v>21.256815384615386</v>
      </c>
      <c r="K19" s="159">
        <v>18270.9</v>
      </c>
      <c r="L19" s="165">
        <f t="shared" si="1"/>
        <v>9362.96</v>
      </c>
      <c r="M19" s="211">
        <f t="shared" si="2"/>
        <v>1.5124520412240228</v>
      </c>
      <c r="N19" s="162">
        <f>N20+N21+N22</f>
        <v>9800</v>
      </c>
      <c r="O19" s="166">
        <f>O20+O21+O22</f>
        <v>13927.95</v>
      </c>
      <c r="P19" s="165">
        <f t="shared" si="6"/>
        <v>4127.950000000001</v>
      </c>
      <c r="Q19" s="163">
        <f t="shared" si="7"/>
        <v>142.12193877551022</v>
      </c>
      <c r="R19" s="36"/>
      <c r="S19" s="93"/>
      <c r="T19" s="145"/>
      <c r="U19" s="245"/>
      <c r="V19" s="131"/>
      <c r="W19" s="262"/>
    </row>
    <row r="20" spans="1:23" s="6" customFormat="1" ht="46.5">
      <c r="A20" s="8"/>
      <c r="B20" s="250" t="s">
        <v>161</v>
      </c>
      <c r="C20" s="122">
        <v>14040000</v>
      </c>
      <c r="D20" s="251">
        <v>130000</v>
      </c>
      <c r="E20" s="251">
        <v>27800</v>
      </c>
      <c r="F20" s="199">
        <v>17734.06</v>
      </c>
      <c r="G20" s="251">
        <f t="shared" si="0"/>
        <v>-10065.939999999999</v>
      </c>
      <c r="H20" s="193">
        <f t="shared" si="3"/>
        <v>63.79158273381296</v>
      </c>
      <c r="I20" s="252">
        <f t="shared" si="4"/>
        <v>-112265.94</v>
      </c>
      <c r="J20" s="252">
        <f t="shared" si="5"/>
        <v>13.641584615384616</v>
      </c>
      <c r="K20" s="253">
        <v>18270.89</v>
      </c>
      <c r="L20" s="164">
        <f t="shared" si="1"/>
        <v>-536.8299999999981</v>
      </c>
      <c r="M20" s="254">
        <f t="shared" si="2"/>
        <v>0.9706182895305047</v>
      </c>
      <c r="N20" s="193">
        <f>E20-лютий!E19</f>
        <v>9800</v>
      </c>
      <c r="O20" s="177">
        <f>F20-лютий!F19</f>
        <v>4028.1500000000015</v>
      </c>
      <c r="P20" s="164">
        <f t="shared" si="6"/>
        <v>-5771.8499999999985</v>
      </c>
      <c r="Q20" s="252">
        <f t="shared" si="7"/>
        <v>41.10357142857144</v>
      </c>
      <c r="R20" s="106"/>
      <c r="S20" s="107"/>
      <c r="T20" s="255">
        <v>4250</v>
      </c>
      <c r="U20" s="256">
        <f t="shared" si="8"/>
        <v>-221.84999999999854</v>
      </c>
      <c r="V20" s="260">
        <v>17955.9</v>
      </c>
      <c r="W20" s="263">
        <f>F20-V20</f>
        <v>-221.84000000000015</v>
      </c>
    </row>
    <row r="21" spans="1:23" s="6" customFormat="1" ht="18">
      <c r="A21" s="8"/>
      <c r="B21" s="250" t="s">
        <v>158</v>
      </c>
      <c r="C21" s="122">
        <v>14021900</v>
      </c>
      <c r="D21" s="251">
        <v>0</v>
      </c>
      <c r="E21" s="251">
        <v>0</v>
      </c>
      <c r="F21" s="199">
        <v>2236.79</v>
      </c>
      <c r="G21" s="251">
        <f t="shared" si="0"/>
        <v>2236.79</v>
      </c>
      <c r="H21" s="193"/>
      <c r="I21" s="252">
        <f t="shared" si="4"/>
        <v>2236.79</v>
      </c>
      <c r="J21" s="252"/>
      <c r="K21" s="253">
        <v>0</v>
      </c>
      <c r="L21" s="164">
        <f t="shared" si="1"/>
        <v>2236.79</v>
      </c>
      <c r="M21" s="254"/>
      <c r="N21" s="193">
        <v>0</v>
      </c>
      <c r="O21" s="177">
        <f>F21</f>
        <v>2236.79</v>
      </c>
      <c r="P21" s="164"/>
      <c r="Q21" s="252"/>
      <c r="R21" s="106"/>
      <c r="S21" s="107"/>
      <c r="T21" s="255"/>
      <c r="U21" s="256"/>
      <c r="V21" s="260"/>
      <c r="W21" s="262"/>
    </row>
    <row r="22" spans="1:23" s="6" customFormat="1" ht="18">
      <c r="A22" s="8"/>
      <c r="B22" s="250" t="s">
        <v>159</v>
      </c>
      <c r="C22" s="122">
        <v>14031900</v>
      </c>
      <c r="D22" s="251">
        <v>0</v>
      </c>
      <c r="E22" s="251">
        <v>0</v>
      </c>
      <c r="F22" s="199">
        <v>7663.01</v>
      </c>
      <c r="G22" s="251">
        <f t="shared" si="0"/>
        <v>7663.01</v>
      </c>
      <c r="H22" s="193"/>
      <c r="I22" s="252">
        <f t="shared" si="4"/>
        <v>7663.01</v>
      </c>
      <c r="J22" s="252"/>
      <c r="K22" s="253">
        <v>0</v>
      </c>
      <c r="L22" s="164">
        <f t="shared" si="1"/>
        <v>7663.01</v>
      </c>
      <c r="M22" s="254"/>
      <c r="N22" s="193">
        <v>0</v>
      </c>
      <c r="O22" s="177">
        <f>F22</f>
        <v>7663.01</v>
      </c>
      <c r="P22" s="164"/>
      <c r="Q22" s="252"/>
      <c r="R22" s="106"/>
      <c r="S22" s="107"/>
      <c r="T22" s="255"/>
      <c r="U22" s="256"/>
      <c r="V22" s="260"/>
      <c r="W22" s="262"/>
    </row>
    <row r="23" spans="1:23" s="6" customFormat="1" ht="18">
      <c r="A23" s="8"/>
      <c r="B23" s="116" t="s">
        <v>73</v>
      </c>
      <c r="C23" s="42">
        <v>18000000</v>
      </c>
      <c r="D23" s="148">
        <f>D24+D33+D35+D32</f>
        <v>401130.1</v>
      </c>
      <c r="E23" s="148">
        <f>E24+E33+E35+E32</f>
        <v>102638.5</v>
      </c>
      <c r="F23" s="221">
        <f>F24+F32+F33+F34+F35</f>
        <v>103972.56</v>
      </c>
      <c r="G23" s="148">
        <f t="shared" si="0"/>
        <v>1334.0599999999977</v>
      </c>
      <c r="H23" s="155">
        <f t="shared" si="3"/>
        <v>101.29976568246808</v>
      </c>
      <c r="I23" s="156">
        <f t="shared" si="4"/>
        <v>-297157.54</v>
      </c>
      <c r="J23" s="156">
        <f t="shared" si="5"/>
        <v>25.91990977490844</v>
      </c>
      <c r="K23" s="156">
        <v>78944.09</v>
      </c>
      <c r="L23" s="159">
        <f t="shared" si="1"/>
        <v>25028.47</v>
      </c>
      <c r="M23" s="207">
        <f t="shared" si="2"/>
        <v>1.3170404522998491</v>
      </c>
      <c r="N23" s="155">
        <f>E23-лютий!E20</f>
        <v>26714</v>
      </c>
      <c r="O23" s="158">
        <f>F23-лютий!F20</f>
        <v>24865.309999999998</v>
      </c>
      <c r="P23" s="159">
        <f t="shared" si="6"/>
        <v>-1848.6900000000023</v>
      </c>
      <c r="Q23" s="156">
        <f t="shared" si="7"/>
        <v>93.07969603952982</v>
      </c>
      <c r="R23" s="106"/>
      <c r="S23" s="107"/>
      <c r="T23" s="145"/>
      <c r="U23" s="245"/>
      <c r="V23" s="131"/>
      <c r="W23" s="262"/>
    </row>
    <row r="24" spans="1:23" s="6" customFormat="1" ht="18">
      <c r="A24" s="8"/>
      <c r="B24" s="43" t="s">
        <v>81</v>
      </c>
      <c r="C24" s="113">
        <v>18010000</v>
      </c>
      <c r="D24" s="148">
        <f>D25+D28+D29</f>
        <v>206621</v>
      </c>
      <c r="E24" s="148">
        <f>E25+E28+E29</f>
        <v>47840.8</v>
      </c>
      <c r="F24" s="168">
        <f>F25+F28+F29</f>
        <v>48563.36</v>
      </c>
      <c r="G24" s="148">
        <f t="shared" si="0"/>
        <v>722.5599999999977</v>
      </c>
      <c r="H24" s="155">
        <f t="shared" si="3"/>
        <v>101.51034263641077</v>
      </c>
      <c r="I24" s="156">
        <f t="shared" si="4"/>
        <v>-158057.64</v>
      </c>
      <c r="J24" s="156">
        <f t="shared" si="5"/>
        <v>23.50359353599102</v>
      </c>
      <c r="K24" s="156">
        <v>40388.11</v>
      </c>
      <c r="L24" s="159">
        <f t="shared" si="1"/>
        <v>8175.25</v>
      </c>
      <c r="M24" s="207">
        <f t="shared" si="2"/>
        <v>1.2024172460657356</v>
      </c>
      <c r="N24" s="155">
        <f>E24-лютий!E21</f>
        <v>15760.000000000004</v>
      </c>
      <c r="O24" s="158">
        <f>F24-лютий!F21</f>
        <v>17108.31</v>
      </c>
      <c r="P24" s="159">
        <f t="shared" si="6"/>
        <v>1348.3099999999977</v>
      </c>
      <c r="Q24" s="156">
        <f t="shared" si="7"/>
        <v>108.55526649746193</v>
      </c>
      <c r="R24" s="106"/>
      <c r="S24" s="107"/>
      <c r="T24" s="145"/>
      <c r="U24" s="245"/>
      <c r="V24" s="131"/>
      <c r="W24" s="262"/>
    </row>
    <row r="25" spans="1:23" s="6" customFormat="1" ht="18">
      <c r="A25" s="8"/>
      <c r="B25" s="49" t="s">
        <v>74</v>
      </c>
      <c r="C25" s="122"/>
      <c r="D25" s="169">
        <v>22809</v>
      </c>
      <c r="E25" s="169">
        <v>4950</v>
      </c>
      <c r="F25" s="170">
        <v>5213.94</v>
      </c>
      <c r="G25" s="169">
        <f t="shared" si="0"/>
        <v>263.9399999999996</v>
      </c>
      <c r="H25" s="171">
        <f t="shared" si="3"/>
        <v>105.33212121212121</v>
      </c>
      <c r="I25" s="172">
        <f t="shared" si="4"/>
        <v>-17595.06</v>
      </c>
      <c r="J25" s="172">
        <f t="shared" si="5"/>
        <v>22.859134552150465</v>
      </c>
      <c r="K25" s="173">
        <v>4194.89</v>
      </c>
      <c r="L25" s="164">
        <f t="shared" si="1"/>
        <v>1019.0499999999993</v>
      </c>
      <c r="M25" s="213">
        <f t="shared" si="2"/>
        <v>1.2429265129717344</v>
      </c>
      <c r="N25" s="193">
        <f>E25-лютий!E22</f>
        <v>575</v>
      </c>
      <c r="O25" s="177">
        <f>F25-лютий!F22</f>
        <v>805.7299999999996</v>
      </c>
      <c r="P25" s="175">
        <f t="shared" si="6"/>
        <v>230.72999999999956</v>
      </c>
      <c r="Q25" s="172">
        <f t="shared" si="7"/>
        <v>140.12695652173906</v>
      </c>
      <c r="R25" s="106"/>
      <c r="S25" s="107"/>
      <c r="T25" s="145">
        <v>374</v>
      </c>
      <c r="U25" s="245">
        <f t="shared" si="8"/>
        <v>431.72999999999956</v>
      </c>
      <c r="V25" s="131"/>
      <c r="W25" s="262"/>
    </row>
    <row r="26" spans="1:23" s="6" customFormat="1" ht="18" hidden="1">
      <c r="A26" s="8"/>
      <c r="B26" s="194" t="s">
        <v>107</v>
      </c>
      <c r="C26" s="195"/>
      <c r="D26" s="196">
        <v>1822.3</v>
      </c>
      <c r="E26" s="196">
        <v>250</v>
      </c>
      <c r="F26" s="161">
        <v>157.07</v>
      </c>
      <c r="G26" s="196">
        <f t="shared" si="0"/>
        <v>-92.93</v>
      </c>
      <c r="H26" s="197">
        <f t="shared" si="3"/>
        <v>62.827999999999996</v>
      </c>
      <c r="I26" s="198">
        <f t="shared" si="4"/>
        <v>-1665.23</v>
      </c>
      <c r="J26" s="198">
        <f t="shared" si="5"/>
        <v>8.619327223838006</v>
      </c>
      <c r="K26" s="198">
        <v>156.42</v>
      </c>
      <c r="L26" s="198">
        <f t="shared" si="1"/>
        <v>0.6500000000000057</v>
      </c>
      <c r="M26" s="226">
        <f t="shared" si="2"/>
        <v>1.0041554788390232</v>
      </c>
      <c r="N26" s="234">
        <f>E26-лютий!E23</f>
        <v>55</v>
      </c>
      <c r="O26" s="234">
        <f>F26-лютий!F23</f>
        <v>6.840000000000003</v>
      </c>
      <c r="P26" s="198">
        <f t="shared" si="6"/>
        <v>-48.16</v>
      </c>
      <c r="Q26" s="198">
        <f t="shared" si="7"/>
        <v>12.436363636363643</v>
      </c>
      <c r="R26" s="106"/>
      <c r="S26" s="107"/>
      <c r="T26" s="145"/>
      <c r="U26" s="245">
        <f t="shared" si="8"/>
        <v>6.840000000000003</v>
      </c>
      <c r="V26" s="131"/>
      <c r="W26" s="262"/>
    </row>
    <row r="27" spans="1:23" s="6" customFormat="1" ht="18" hidden="1">
      <c r="A27" s="8"/>
      <c r="B27" s="194" t="s">
        <v>108</v>
      </c>
      <c r="C27" s="195"/>
      <c r="D27" s="196">
        <v>20986.7</v>
      </c>
      <c r="E27" s="196">
        <v>4700</v>
      </c>
      <c r="F27" s="161">
        <v>5056.87</v>
      </c>
      <c r="G27" s="196">
        <f t="shared" si="0"/>
        <v>356.8699999999999</v>
      </c>
      <c r="H27" s="197">
        <f t="shared" si="3"/>
        <v>107.59297872340426</v>
      </c>
      <c r="I27" s="198">
        <f t="shared" si="4"/>
        <v>-15929.830000000002</v>
      </c>
      <c r="J27" s="198">
        <f t="shared" si="5"/>
        <v>24.095593876121544</v>
      </c>
      <c r="K27" s="198">
        <v>4038.47</v>
      </c>
      <c r="L27" s="198">
        <f t="shared" si="1"/>
        <v>1018.4000000000001</v>
      </c>
      <c r="M27" s="226">
        <f t="shared" si="2"/>
        <v>1.2521747097291795</v>
      </c>
      <c r="N27" s="234">
        <f>E27-лютий!E24</f>
        <v>520</v>
      </c>
      <c r="O27" s="234">
        <f>F27-лютий!F24</f>
        <v>798.8900000000003</v>
      </c>
      <c r="P27" s="198">
        <f t="shared" si="6"/>
        <v>278.8900000000003</v>
      </c>
      <c r="Q27" s="198">
        <f t="shared" si="7"/>
        <v>153.63269230769237</v>
      </c>
      <c r="R27" s="106"/>
      <c r="S27" s="107"/>
      <c r="T27" s="145"/>
      <c r="U27" s="245">
        <f t="shared" si="8"/>
        <v>798.8900000000003</v>
      </c>
      <c r="V27" s="131"/>
      <c r="W27" s="262"/>
    </row>
    <row r="28" spans="1:23" s="6" customFormat="1" ht="18">
      <c r="A28" s="8"/>
      <c r="B28" s="49" t="s">
        <v>75</v>
      </c>
      <c r="C28" s="122"/>
      <c r="D28" s="169">
        <v>820</v>
      </c>
      <c r="E28" s="169">
        <v>55.8</v>
      </c>
      <c r="F28" s="170">
        <v>31.25</v>
      </c>
      <c r="G28" s="169">
        <f t="shared" si="0"/>
        <v>-24.549999999999997</v>
      </c>
      <c r="H28" s="171">
        <f t="shared" si="3"/>
        <v>56.00358422939068</v>
      </c>
      <c r="I28" s="172">
        <f t="shared" si="4"/>
        <v>-788.75</v>
      </c>
      <c r="J28" s="172">
        <f t="shared" si="5"/>
        <v>3.8109756097560976</v>
      </c>
      <c r="K28" s="172">
        <v>313.88</v>
      </c>
      <c r="L28" s="172">
        <f t="shared" si="1"/>
        <v>-282.63</v>
      </c>
      <c r="M28" s="210">
        <f t="shared" si="2"/>
        <v>0.09956034153179559</v>
      </c>
      <c r="N28" s="193">
        <f>E28-лютий!E25</f>
        <v>5</v>
      </c>
      <c r="O28" s="177">
        <f>F28-лютий!F25</f>
        <v>-47.92</v>
      </c>
      <c r="P28" s="175">
        <f t="shared" si="6"/>
        <v>-52.92</v>
      </c>
      <c r="Q28" s="172">
        <f>O28/N28*100</f>
        <v>-958.4</v>
      </c>
      <c r="R28" s="106"/>
      <c r="S28" s="107"/>
      <c r="T28" s="145">
        <v>0</v>
      </c>
      <c r="U28" s="245">
        <f t="shared" si="8"/>
        <v>-47.92</v>
      </c>
      <c r="V28" s="131"/>
      <c r="W28" s="262"/>
    </row>
    <row r="29" spans="1:23" s="6" customFormat="1" ht="18">
      <c r="A29" s="8"/>
      <c r="B29" s="49" t="s">
        <v>76</v>
      </c>
      <c r="C29" s="122"/>
      <c r="D29" s="169">
        <v>182992</v>
      </c>
      <c r="E29" s="169">
        <v>42835</v>
      </c>
      <c r="F29" s="170">
        <v>43318.17</v>
      </c>
      <c r="G29" s="169">
        <f t="shared" si="0"/>
        <v>483.16999999999825</v>
      </c>
      <c r="H29" s="171">
        <f t="shared" si="3"/>
        <v>101.1279794560523</v>
      </c>
      <c r="I29" s="172">
        <f t="shared" si="4"/>
        <v>-139673.83000000002</v>
      </c>
      <c r="J29" s="172">
        <f t="shared" si="5"/>
        <v>23.672165996327706</v>
      </c>
      <c r="K29" s="173">
        <v>35879.34</v>
      </c>
      <c r="L29" s="173">
        <f t="shared" si="1"/>
        <v>7438.830000000002</v>
      </c>
      <c r="M29" s="209">
        <f t="shared" si="2"/>
        <v>1.2073290645814556</v>
      </c>
      <c r="N29" s="193">
        <f>E29-лютий!E26</f>
        <v>15180</v>
      </c>
      <c r="O29" s="177">
        <f>F29-лютий!F26</f>
        <v>16350.5</v>
      </c>
      <c r="P29" s="175">
        <f t="shared" si="6"/>
        <v>1170.5</v>
      </c>
      <c r="Q29" s="172">
        <f>O29/N29*100</f>
        <v>107.71080368906456</v>
      </c>
      <c r="R29" s="106"/>
      <c r="S29" s="107"/>
      <c r="T29" s="145">
        <v>15224</v>
      </c>
      <c r="U29" s="245">
        <f t="shared" si="8"/>
        <v>1126.5</v>
      </c>
      <c r="V29" s="131">
        <v>42191.7</v>
      </c>
      <c r="W29" s="263">
        <f>F29-V29</f>
        <v>1126.4700000000012</v>
      </c>
    </row>
    <row r="30" spans="1:23" s="6" customFormat="1" ht="18" hidden="1">
      <c r="A30" s="8"/>
      <c r="B30" s="194" t="s">
        <v>109</v>
      </c>
      <c r="C30" s="195"/>
      <c r="D30" s="196">
        <v>57533</v>
      </c>
      <c r="E30" s="196">
        <v>12830</v>
      </c>
      <c r="F30" s="161">
        <v>14435.44</v>
      </c>
      <c r="G30" s="196">
        <f t="shared" si="0"/>
        <v>1605.4400000000005</v>
      </c>
      <c r="H30" s="197">
        <f t="shared" si="3"/>
        <v>112.51317225253312</v>
      </c>
      <c r="I30" s="198">
        <f t="shared" si="4"/>
        <v>-43097.56</v>
      </c>
      <c r="J30" s="198">
        <f t="shared" si="5"/>
        <v>25.0907131559279</v>
      </c>
      <c r="K30" s="198">
        <v>10893.12</v>
      </c>
      <c r="L30" s="198">
        <f t="shared" si="1"/>
        <v>3542.3199999999997</v>
      </c>
      <c r="M30" s="226">
        <f t="shared" si="2"/>
        <v>1.3251887429863987</v>
      </c>
      <c r="N30" s="234">
        <f>E30-лютий!E27</f>
        <v>4650</v>
      </c>
      <c r="O30" s="234">
        <f>F30-лютий!F27</f>
        <v>5576.230000000001</v>
      </c>
      <c r="P30" s="198">
        <f t="shared" si="6"/>
        <v>926.2300000000014</v>
      </c>
      <c r="Q30" s="198">
        <f>O30/N30*100</f>
        <v>119.91892473118281</v>
      </c>
      <c r="R30" s="106"/>
      <c r="S30" s="107"/>
      <c r="T30" s="145"/>
      <c r="U30" s="245">
        <f t="shared" si="8"/>
        <v>5576.230000000001</v>
      </c>
      <c r="V30" s="131"/>
      <c r="W30" s="262"/>
    </row>
    <row r="31" spans="1:23" s="6" customFormat="1" ht="18" hidden="1">
      <c r="A31" s="8"/>
      <c r="B31" s="194" t="s">
        <v>110</v>
      </c>
      <c r="C31" s="195"/>
      <c r="D31" s="196">
        <v>125459</v>
      </c>
      <c r="E31" s="196">
        <v>30005</v>
      </c>
      <c r="F31" s="161">
        <v>28882.73</v>
      </c>
      <c r="G31" s="196">
        <f t="shared" si="0"/>
        <v>-1122.2700000000004</v>
      </c>
      <c r="H31" s="197">
        <f t="shared" si="3"/>
        <v>96.25972337943676</v>
      </c>
      <c r="I31" s="198">
        <f t="shared" si="4"/>
        <v>-96576.27</v>
      </c>
      <c r="J31" s="198">
        <f t="shared" si="5"/>
        <v>23.02164850668346</v>
      </c>
      <c r="K31" s="198">
        <v>24986.12</v>
      </c>
      <c r="L31" s="198">
        <f t="shared" si="1"/>
        <v>3896.6100000000006</v>
      </c>
      <c r="M31" s="226">
        <f t="shared" si="2"/>
        <v>1.1559509839863091</v>
      </c>
      <c r="N31" s="234">
        <f>E31-лютий!E28</f>
        <v>10530</v>
      </c>
      <c r="O31" s="234">
        <f>F31-лютий!F28</f>
        <v>10774.27</v>
      </c>
      <c r="P31" s="198">
        <f t="shared" si="6"/>
        <v>244.27000000000044</v>
      </c>
      <c r="Q31" s="198">
        <f>O31/N31*100</f>
        <v>102.31975308641977</v>
      </c>
      <c r="R31" s="106"/>
      <c r="S31" s="107"/>
      <c r="T31" s="145"/>
      <c r="U31" s="245">
        <f t="shared" si="8"/>
        <v>10774.27</v>
      </c>
      <c r="V31" s="131"/>
      <c r="W31" s="262"/>
    </row>
    <row r="32" spans="1:23" s="6" customFormat="1" ht="18">
      <c r="A32" s="8"/>
      <c r="B32" s="223" t="s">
        <v>112</v>
      </c>
      <c r="C32" s="220">
        <v>18020000</v>
      </c>
      <c r="D32" s="160">
        <v>0</v>
      </c>
      <c r="E32" s="160">
        <v>0</v>
      </c>
      <c r="F32" s="197">
        <v>0.2</v>
      </c>
      <c r="G32" s="148">
        <f t="shared" si="0"/>
        <v>0.2</v>
      </c>
      <c r="H32" s="155"/>
      <c r="I32" s="156">
        <f t="shared" si="4"/>
        <v>0.2</v>
      </c>
      <c r="J32" s="156"/>
      <c r="K32" s="165">
        <v>0</v>
      </c>
      <c r="L32" s="156">
        <f t="shared" si="1"/>
        <v>0.2</v>
      </c>
      <c r="M32" s="208"/>
      <c r="N32" s="155">
        <f>E32-лютий!E29</f>
        <v>0</v>
      </c>
      <c r="O32" s="158">
        <f>F32-лютий!F29</f>
        <v>0</v>
      </c>
      <c r="P32" s="159">
        <f t="shared" si="6"/>
        <v>0</v>
      </c>
      <c r="Q32" s="156"/>
      <c r="R32" s="106"/>
      <c r="S32" s="107"/>
      <c r="T32" s="145"/>
      <c r="U32" s="245"/>
      <c r="V32" s="131"/>
      <c r="W32" s="262"/>
    </row>
    <row r="33" spans="1:23" s="6" customFormat="1" ht="18">
      <c r="A33" s="8"/>
      <c r="B33" s="43" t="s">
        <v>82</v>
      </c>
      <c r="C33" s="113">
        <v>18030000</v>
      </c>
      <c r="D33" s="148">
        <v>115</v>
      </c>
      <c r="E33" s="148">
        <v>19</v>
      </c>
      <c r="F33" s="154">
        <v>37.2</v>
      </c>
      <c r="G33" s="148">
        <f t="shared" si="0"/>
        <v>18.200000000000003</v>
      </c>
      <c r="H33" s="155">
        <f t="shared" si="3"/>
        <v>195.78947368421055</v>
      </c>
      <c r="I33" s="156">
        <f t="shared" si="4"/>
        <v>-77.8</v>
      </c>
      <c r="J33" s="156">
        <f t="shared" si="5"/>
        <v>32.34782608695652</v>
      </c>
      <c r="K33" s="156">
        <v>24.81</v>
      </c>
      <c r="L33" s="156">
        <f t="shared" si="1"/>
        <v>12.390000000000004</v>
      </c>
      <c r="M33" s="208">
        <f>F33/K33</f>
        <v>1.4993954050785976</v>
      </c>
      <c r="N33" s="155">
        <f>E33-лютий!E30</f>
        <v>4</v>
      </c>
      <c r="O33" s="158">
        <f>F33-лютий!F30</f>
        <v>3</v>
      </c>
      <c r="P33" s="159">
        <f t="shared" si="6"/>
        <v>-1</v>
      </c>
      <c r="Q33" s="156">
        <f>O33/N33*100</f>
        <v>75</v>
      </c>
      <c r="R33" s="106"/>
      <c r="S33" s="107"/>
      <c r="T33" s="145">
        <v>4.5</v>
      </c>
      <c r="U33" s="245"/>
      <c r="V33" s="131"/>
      <c r="W33" s="262"/>
    </row>
    <row r="34" spans="1:23" s="6" customFormat="1" ht="30.75">
      <c r="A34" s="8"/>
      <c r="B34" s="223" t="s">
        <v>83</v>
      </c>
      <c r="C34" s="113">
        <v>18040000</v>
      </c>
      <c r="D34" s="148"/>
      <c r="E34" s="148"/>
      <c r="F34" s="154">
        <v>-24.82</v>
      </c>
      <c r="G34" s="148">
        <f t="shared" si="0"/>
        <v>-24.82</v>
      </c>
      <c r="H34" s="155"/>
      <c r="I34" s="156">
        <f t="shared" si="4"/>
        <v>-24.82</v>
      </c>
      <c r="J34" s="156"/>
      <c r="K34" s="156">
        <v>-81.54</v>
      </c>
      <c r="L34" s="156">
        <f t="shared" si="1"/>
        <v>56.720000000000006</v>
      </c>
      <c r="M34" s="208">
        <f>F34/K34</f>
        <v>0.3043904831984302</v>
      </c>
      <c r="N34" s="155">
        <f>E34-лютий!E31</f>
        <v>0</v>
      </c>
      <c r="O34" s="158">
        <f>F34-лютий!F31</f>
        <v>-14.06</v>
      </c>
      <c r="P34" s="159">
        <f t="shared" si="6"/>
        <v>-14.06</v>
      </c>
      <c r="Q34" s="156" t="e">
        <f>O34/N34*100</f>
        <v>#DIV/0!</v>
      </c>
      <c r="R34" s="106"/>
      <c r="S34" s="107"/>
      <c r="T34" s="145"/>
      <c r="U34" s="245"/>
      <c r="V34" s="131"/>
      <c r="W34" s="262"/>
    </row>
    <row r="35" spans="1:23" s="6" customFormat="1" ht="18">
      <c r="A35" s="8"/>
      <c r="B35" s="43" t="s">
        <v>84</v>
      </c>
      <c r="C35" s="113">
        <v>18050000</v>
      </c>
      <c r="D35" s="160">
        <v>194394.1</v>
      </c>
      <c r="E35" s="160">
        <f>50378.7+240+4160</f>
        <v>54778.7</v>
      </c>
      <c r="F35" s="161">
        <v>55396.62</v>
      </c>
      <c r="G35" s="160">
        <f t="shared" si="0"/>
        <v>617.9200000000055</v>
      </c>
      <c r="H35" s="162">
        <f t="shared" si="3"/>
        <v>101.12802969037236</v>
      </c>
      <c r="I35" s="163">
        <f t="shared" si="4"/>
        <v>-138997.48</v>
      </c>
      <c r="J35" s="163">
        <f t="shared" si="5"/>
        <v>28.49706858387163</v>
      </c>
      <c r="K35" s="176">
        <v>38612.71</v>
      </c>
      <c r="L35" s="176">
        <f>F35-K35</f>
        <v>16783.910000000003</v>
      </c>
      <c r="M35" s="224">
        <f>F35/K35</f>
        <v>1.434673194396353</v>
      </c>
      <c r="N35" s="155">
        <f>E35-лютий!E32</f>
        <v>10950</v>
      </c>
      <c r="O35" s="158">
        <f>F35-лютий!F32</f>
        <v>7768.060000000005</v>
      </c>
      <c r="P35" s="165">
        <f t="shared" si="6"/>
        <v>-3181.939999999995</v>
      </c>
      <c r="Q35" s="163">
        <f>O35/N35*100</f>
        <v>70.94118721461193</v>
      </c>
      <c r="R35" s="106"/>
      <c r="S35" s="107"/>
      <c r="T35" s="145">
        <v>6650</v>
      </c>
      <c r="U35" s="245">
        <f t="shared" si="8"/>
        <v>1118.060000000005</v>
      </c>
      <c r="V35" s="131"/>
      <c r="W35" s="262"/>
    </row>
    <row r="36" spans="1:23" s="6" customFormat="1" ht="15" hidden="1">
      <c r="A36" s="8"/>
      <c r="B36" s="49" t="s">
        <v>90</v>
      </c>
      <c r="C36" s="101">
        <v>18050200</v>
      </c>
      <c r="D36" s="102">
        <v>0</v>
      </c>
      <c r="E36" s="102">
        <v>0</v>
      </c>
      <c r="F36" s="138">
        <v>0</v>
      </c>
      <c r="G36" s="102">
        <f t="shared" si="0"/>
        <v>0</v>
      </c>
      <c r="H36" s="104"/>
      <c r="I36" s="103">
        <f t="shared" si="4"/>
        <v>0</v>
      </c>
      <c r="J36" s="103"/>
      <c r="K36" s="126">
        <v>0.16</v>
      </c>
      <c r="L36" s="126">
        <f t="shared" si="1"/>
        <v>-0.16</v>
      </c>
      <c r="M36" s="214">
        <f aca="true" t="shared" si="9" ref="M36:M42">F36/K36</f>
        <v>0</v>
      </c>
      <c r="N36" s="104">
        <f>E36-лютий!E33</f>
        <v>0</v>
      </c>
      <c r="O36" s="142">
        <f>F36-лютий!F33</f>
        <v>0</v>
      </c>
      <c r="P36" s="105">
        <f t="shared" si="6"/>
        <v>0</v>
      </c>
      <c r="Q36" s="103"/>
      <c r="R36" s="106"/>
      <c r="S36" s="107"/>
      <c r="T36" s="145"/>
      <c r="U36" s="245">
        <f t="shared" si="8"/>
        <v>0</v>
      </c>
      <c r="V36" s="131"/>
      <c r="W36" s="262"/>
    </row>
    <row r="37" spans="1:23" s="6" customFormat="1" ht="15" hidden="1">
      <c r="A37" s="8"/>
      <c r="B37" s="49" t="s">
        <v>91</v>
      </c>
      <c r="C37" s="101">
        <v>18050300</v>
      </c>
      <c r="D37" s="102">
        <v>41000</v>
      </c>
      <c r="E37" s="102">
        <f>10160+240</f>
        <v>10400</v>
      </c>
      <c r="F37" s="138">
        <v>10947.92</v>
      </c>
      <c r="G37" s="102">
        <f t="shared" si="0"/>
        <v>547.9200000000001</v>
      </c>
      <c r="H37" s="104">
        <f t="shared" si="3"/>
        <v>105.26846153846154</v>
      </c>
      <c r="I37" s="103">
        <f t="shared" si="4"/>
        <v>-30052.08</v>
      </c>
      <c r="J37" s="103">
        <f t="shared" si="5"/>
        <v>26.702243902439026</v>
      </c>
      <c r="K37" s="126">
        <v>9812.49</v>
      </c>
      <c r="L37" s="126">
        <f t="shared" si="1"/>
        <v>1135.4300000000003</v>
      </c>
      <c r="M37" s="214">
        <f t="shared" si="9"/>
        <v>1.1157127293887688</v>
      </c>
      <c r="N37" s="104">
        <f>E37-лютий!E34</f>
        <v>1290</v>
      </c>
      <c r="O37" s="142">
        <f>F37-лютий!F34</f>
        <v>1191.9699999999993</v>
      </c>
      <c r="P37" s="105">
        <f t="shared" si="6"/>
        <v>-98.03000000000065</v>
      </c>
      <c r="Q37" s="103">
        <f>O37/N37*100</f>
        <v>92.4007751937984</v>
      </c>
      <c r="R37" s="106"/>
      <c r="S37" s="107"/>
      <c r="T37" s="145"/>
      <c r="U37" s="245">
        <f t="shared" si="8"/>
        <v>1191.9699999999993</v>
      </c>
      <c r="V37" s="131"/>
      <c r="W37" s="262"/>
    </row>
    <row r="38" spans="1:23" s="6" customFormat="1" ht="15" hidden="1">
      <c r="A38" s="8"/>
      <c r="B38" s="49" t="s">
        <v>92</v>
      </c>
      <c r="C38" s="101">
        <v>18050400</v>
      </c>
      <c r="D38" s="102">
        <v>153339.1</v>
      </c>
      <c r="E38" s="102">
        <f>40200+4160</f>
        <v>44360</v>
      </c>
      <c r="F38" s="138">
        <v>44432.58</v>
      </c>
      <c r="G38" s="102">
        <f t="shared" si="0"/>
        <v>72.58000000000175</v>
      </c>
      <c r="H38" s="104">
        <f t="shared" si="3"/>
        <v>100.1636158701533</v>
      </c>
      <c r="I38" s="103">
        <f t="shared" si="4"/>
        <v>-108906.52</v>
      </c>
      <c r="J38" s="103">
        <f t="shared" si="5"/>
        <v>28.97667979008616</v>
      </c>
      <c r="K38" s="126">
        <v>28792.38</v>
      </c>
      <c r="L38" s="126">
        <f t="shared" si="1"/>
        <v>15640.2</v>
      </c>
      <c r="M38" s="214">
        <f t="shared" si="9"/>
        <v>1.5432062233132517</v>
      </c>
      <c r="N38" s="104">
        <f>E38-лютий!E35</f>
        <v>9660</v>
      </c>
      <c r="O38" s="142">
        <f>F38-лютий!F35</f>
        <v>6576.080000000002</v>
      </c>
      <c r="P38" s="105">
        <f t="shared" si="6"/>
        <v>-3083.9199999999983</v>
      </c>
      <c r="Q38" s="103">
        <f>O38/N38*100</f>
        <v>68.07536231884059</v>
      </c>
      <c r="R38" s="106"/>
      <c r="S38" s="107"/>
      <c r="T38" s="145"/>
      <c r="U38" s="245">
        <f t="shared" si="8"/>
        <v>6576.080000000002</v>
      </c>
      <c r="V38" s="131"/>
      <c r="W38" s="262"/>
    </row>
    <row r="39" spans="1:23" s="6" customFormat="1" ht="15" hidden="1">
      <c r="A39" s="8"/>
      <c r="B39" s="49" t="s">
        <v>93</v>
      </c>
      <c r="C39" s="101">
        <v>18050500</v>
      </c>
      <c r="D39" s="102">
        <v>55</v>
      </c>
      <c r="E39" s="102">
        <v>18.7</v>
      </c>
      <c r="F39" s="138">
        <v>16.11</v>
      </c>
      <c r="G39" s="102">
        <f t="shared" si="0"/>
        <v>-2.59</v>
      </c>
      <c r="H39" s="104">
        <f t="shared" si="3"/>
        <v>86.14973262032085</v>
      </c>
      <c r="I39" s="103">
        <f t="shared" si="4"/>
        <v>-38.89</v>
      </c>
      <c r="J39" s="103">
        <f t="shared" si="5"/>
        <v>29.29090909090909</v>
      </c>
      <c r="K39" s="126">
        <v>7.69</v>
      </c>
      <c r="L39" s="126">
        <f t="shared" si="1"/>
        <v>8.419999999999998</v>
      </c>
      <c r="M39" s="214">
        <f t="shared" si="9"/>
        <v>2.094928478543563</v>
      </c>
      <c r="N39" s="104">
        <f>E39-лютий!E36</f>
        <v>0</v>
      </c>
      <c r="O39" s="142">
        <f>F39-лютий!F36</f>
        <v>0</v>
      </c>
      <c r="P39" s="105">
        <f t="shared" si="6"/>
        <v>0</v>
      </c>
      <c r="Q39" s="103"/>
      <c r="R39" s="106"/>
      <c r="S39" s="107"/>
      <c r="T39" s="145"/>
      <c r="U39" s="245">
        <f t="shared" si="8"/>
        <v>0</v>
      </c>
      <c r="V39" s="131"/>
      <c r="W39" s="262"/>
    </row>
    <row r="40" spans="1:23" s="6" customFormat="1" ht="15" customHeight="1" hidden="1">
      <c r="A40" s="8"/>
      <c r="B40" s="229" t="s">
        <v>46</v>
      </c>
      <c r="C40" s="42">
        <v>19010000</v>
      </c>
      <c r="D40" s="33">
        <v>0</v>
      </c>
      <c r="E40" s="33">
        <v>0</v>
      </c>
      <c r="F40" s="33">
        <v>0</v>
      </c>
      <c r="G40" s="33">
        <f t="shared" si="0"/>
        <v>0</v>
      </c>
      <c r="H40" s="29"/>
      <c r="I40" s="36">
        <f t="shared" si="4"/>
        <v>0</v>
      </c>
      <c r="J40" s="36"/>
      <c r="K40" s="118">
        <v>0</v>
      </c>
      <c r="L40" s="118">
        <f t="shared" si="1"/>
        <v>0</v>
      </c>
      <c r="M40" s="215" t="e">
        <f t="shared" si="9"/>
        <v>#DIV/0!</v>
      </c>
      <c r="N40" s="155">
        <f>E40-лютий!E37</f>
        <v>0</v>
      </c>
      <c r="O40" s="158">
        <f>F40-лютий!F37</f>
        <v>0</v>
      </c>
      <c r="P40" s="35">
        <f t="shared" si="6"/>
        <v>0</v>
      </c>
      <c r="Q40" s="36"/>
      <c r="R40" s="106"/>
      <c r="S40" s="107"/>
      <c r="T40" s="145"/>
      <c r="U40" s="245">
        <f t="shared" si="8"/>
        <v>0</v>
      </c>
      <c r="V40" s="131"/>
      <c r="W40" s="262"/>
    </row>
    <row r="41" spans="1:23" s="6" customFormat="1" ht="17.25">
      <c r="A41" s="7"/>
      <c r="B41" s="16" t="s">
        <v>12</v>
      </c>
      <c r="C41" s="69">
        <v>20000000</v>
      </c>
      <c r="D41" s="149">
        <f>D42+D43+D44+D45+D46+D48+D50+D51+D52+D53+D54+D59+D60+D64+D47</f>
        <v>59025</v>
      </c>
      <c r="E41" s="149">
        <f>E42+E43+E44+E45+E46+E48+E50+E51+E52+E53+E54+E59+E60+E64+E47</f>
        <v>14313.7</v>
      </c>
      <c r="F41" s="149">
        <f>F42+F43+F44+F45+F46+F48+F50+F51+F52+F53+F54+F59+F60+F64+F47</f>
        <v>13874.240000000002</v>
      </c>
      <c r="G41" s="149">
        <f>G42+G43+G44+G45+G46+G48+G50+G51+G52+G53+G54+G59+G60+G64</f>
        <v>-412.76999999999987</v>
      </c>
      <c r="H41" s="150">
        <f>F41/E41*100</f>
        <v>96.92979453251081</v>
      </c>
      <c r="I41" s="151">
        <f>F41-D41</f>
        <v>-45150.759999999995</v>
      </c>
      <c r="J41" s="151">
        <f>F41/D41*100</f>
        <v>23.505700974163492</v>
      </c>
      <c r="K41" s="149">
        <v>10672.26</v>
      </c>
      <c r="L41" s="149">
        <f t="shared" si="1"/>
        <v>3201.9800000000014</v>
      </c>
      <c r="M41" s="203">
        <f t="shared" si="9"/>
        <v>1.300028297661414</v>
      </c>
      <c r="N41" s="149">
        <f>N42+N43+N44+N45+N46+N48+N50+N51+N52+N53+N54+N59+N60+N64+N47</f>
        <v>6539.6</v>
      </c>
      <c r="O41" s="149">
        <f>O42+O43+O44+O45+O46+O48+O50+O51+O52+O53+O54+O59+O60+O64+O47</f>
        <v>5182.61</v>
      </c>
      <c r="P41" s="149">
        <f>P42+P43+P44+P45+P46+P48+P50+P51+P52+P53+P54+P59+P60+P64</f>
        <v>-1343.8999999999996</v>
      </c>
      <c r="Q41" s="149">
        <f>O41/N41*100</f>
        <v>79.24964829653189</v>
      </c>
      <c r="R41" s="15" t="e">
        <f>#N/A</f>
        <v>#N/A</v>
      </c>
      <c r="S41" s="15" t="e">
        <f>#N/A</f>
        <v>#N/A</v>
      </c>
      <c r="T41" s="145"/>
      <c r="U41" s="245"/>
      <c r="W41" s="262"/>
    </row>
    <row r="42" spans="1:23" s="6" customFormat="1" ht="46.5">
      <c r="A42" s="8"/>
      <c r="B42" s="43" t="s">
        <v>98</v>
      </c>
      <c r="C42" s="42">
        <v>21010301</v>
      </c>
      <c r="D42" s="148">
        <v>580</v>
      </c>
      <c r="E42" s="148">
        <v>80</v>
      </c>
      <c r="F42" s="154">
        <v>-186.82</v>
      </c>
      <c r="G42" s="160">
        <f>F42-E42</f>
        <v>-266.82</v>
      </c>
      <c r="H42" s="162">
        <f aca="true" t="shared" si="10" ref="H42:H65">F42/E42*100</f>
        <v>-233.52499999999998</v>
      </c>
      <c r="I42" s="163">
        <f>F42-D42</f>
        <v>-766.8199999999999</v>
      </c>
      <c r="J42" s="163">
        <f>F42/D42*100</f>
        <v>-32.210344827586205</v>
      </c>
      <c r="K42" s="163">
        <v>94.65</v>
      </c>
      <c r="L42" s="163">
        <f t="shared" si="1"/>
        <v>-281.47</v>
      </c>
      <c r="M42" s="216">
        <f t="shared" si="9"/>
        <v>-1.9737982039091388</v>
      </c>
      <c r="N42" s="162">
        <f>E42-лютий!E39</f>
        <v>0</v>
      </c>
      <c r="O42" s="166">
        <f>F42-лютий!F39</f>
        <v>-196</v>
      </c>
      <c r="P42" s="165">
        <f>O42-N42</f>
        <v>-196</v>
      </c>
      <c r="Q42" s="163" t="e">
        <f aca="true" t="shared" si="11" ref="Q42:Q65">O42/N42*100</f>
        <v>#DIV/0!</v>
      </c>
      <c r="R42" s="36"/>
      <c r="S42" s="93"/>
      <c r="T42" s="145">
        <v>-196</v>
      </c>
      <c r="U42" s="245">
        <f t="shared" si="8"/>
        <v>0</v>
      </c>
      <c r="V42" s="131"/>
      <c r="W42" s="262"/>
    </row>
    <row r="43" spans="1:23" s="6" customFormat="1" ht="30.75">
      <c r="A43" s="8"/>
      <c r="B43" s="128" t="s">
        <v>77</v>
      </c>
      <c r="C43" s="41">
        <v>21050000</v>
      </c>
      <c r="D43" s="148">
        <v>30000</v>
      </c>
      <c r="E43" s="148">
        <v>5300</v>
      </c>
      <c r="F43" s="154">
        <v>4701.84</v>
      </c>
      <c r="G43" s="160">
        <f aca="true" t="shared" si="12" ref="G43:G66">F43-E43</f>
        <v>-598.1599999999999</v>
      </c>
      <c r="H43" s="162">
        <f t="shared" si="10"/>
        <v>88.71396226415095</v>
      </c>
      <c r="I43" s="163">
        <f aca="true" t="shared" si="13" ref="I43:I66">F43-D43</f>
        <v>-25298.16</v>
      </c>
      <c r="J43" s="163">
        <f>F43/D43*100</f>
        <v>15.6728</v>
      </c>
      <c r="K43" s="163">
        <v>3537.38</v>
      </c>
      <c r="L43" s="163">
        <f t="shared" si="1"/>
        <v>1164.46</v>
      </c>
      <c r="M43" s="216"/>
      <c r="N43" s="162">
        <f>E43-лютий!E40</f>
        <v>2800</v>
      </c>
      <c r="O43" s="166">
        <f>F43-лютий!F40</f>
        <v>2585.52</v>
      </c>
      <c r="P43" s="165">
        <f aca="true" t="shared" si="14" ref="P43:P66">O43-N43</f>
        <v>-214.48000000000002</v>
      </c>
      <c r="Q43" s="163">
        <f t="shared" si="11"/>
        <v>92.34</v>
      </c>
      <c r="R43" s="36"/>
      <c r="S43" s="93"/>
      <c r="T43" s="145"/>
      <c r="U43" s="245"/>
      <c r="V43" s="131"/>
      <c r="W43" s="262"/>
    </row>
    <row r="44" spans="1:23" s="6" customFormat="1" ht="18">
      <c r="A44" s="8"/>
      <c r="B44" s="128" t="s">
        <v>61</v>
      </c>
      <c r="C44" s="41">
        <v>21080500</v>
      </c>
      <c r="D44" s="148">
        <v>40</v>
      </c>
      <c r="E44" s="148">
        <v>19</v>
      </c>
      <c r="F44" s="154">
        <v>72.08</v>
      </c>
      <c r="G44" s="160">
        <f t="shared" si="12"/>
        <v>53.08</v>
      </c>
      <c r="H44" s="162">
        <f>F44/E44*100</f>
        <v>379.36842105263156</v>
      </c>
      <c r="I44" s="163">
        <f t="shared" si="13"/>
        <v>32.08</v>
      </c>
      <c r="J44" s="163">
        <f aca="true" t="shared" si="15" ref="J44:J65">F44/D44*100</f>
        <v>180.20000000000002</v>
      </c>
      <c r="K44" s="163">
        <v>26.96</v>
      </c>
      <c r="L44" s="163">
        <f t="shared" si="1"/>
        <v>45.12</v>
      </c>
      <c r="M44" s="216">
        <f aca="true" t="shared" si="16" ref="M44:M66">F44/K44</f>
        <v>2.6735905044510386</v>
      </c>
      <c r="N44" s="162">
        <f>E44-лютий!E41</f>
        <v>3</v>
      </c>
      <c r="O44" s="166">
        <f>F44-лютий!F41</f>
        <v>15</v>
      </c>
      <c r="P44" s="165">
        <f t="shared" si="14"/>
        <v>12</v>
      </c>
      <c r="Q44" s="163">
        <f t="shared" si="11"/>
        <v>500</v>
      </c>
      <c r="R44" s="36"/>
      <c r="S44" s="93"/>
      <c r="T44" s="145"/>
      <c r="U44" s="245"/>
      <c r="V44" s="131"/>
      <c r="W44" s="262"/>
    </row>
    <row r="45" spans="1:23" s="6" customFormat="1" ht="31.5">
      <c r="A45" s="8"/>
      <c r="B45" s="235" t="s">
        <v>39</v>
      </c>
      <c r="C45" s="70">
        <v>21080900</v>
      </c>
      <c r="D45" s="148">
        <f>6.5-6.5</f>
        <v>0</v>
      </c>
      <c r="E45" s="148">
        <v>0</v>
      </c>
      <c r="F45" s="154">
        <v>2.03</v>
      </c>
      <c r="G45" s="160">
        <f t="shared" si="12"/>
        <v>2.03</v>
      </c>
      <c r="H45" s="162" t="e">
        <f>F45/E45*100</f>
        <v>#DIV/0!</v>
      </c>
      <c r="I45" s="163">
        <f t="shared" si="13"/>
        <v>2.03</v>
      </c>
      <c r="J45" s="163" t="e">
        <f t="shared" si="15"/>
        <v>#DIV/0!</v>
      </c>
      <c r="K45" s="163">
        <v>0.1</v>
      </c>
      <c r="L45" s="163">
        <f t="shared" si="1"/>
        <v>1.9299999999999997</v>
      </c>
      <c r="M45" s="216">
        <f t="shared" si="16"/>
        <v>20.299999999999997</v>
      </c>
      <c r="N45" s="162">
        <f>E45-лютий!E42</f>
        <v>0</v>
      </c>
      <c r="O45" s="166">
        <f>F45-лютий!F42</f>
        <v>0</v>
      </c>
      <c r="P45" s="165">
        <f t="shared" si="14"/>
        <v>0</v>
      </c>
      <c r="Q45" s="163" t="e">
        <f t="shared" si="11"/>
        <v>#DIV/0!</v>
      </c>
      <c r="R45" s="36"/>
      <c r="S45" s="93"/>
      <c r="T45" s="145"/>
      <c r="U45" s="245"/>
      <c r="V45" s="131"/>
      <c r="W45" s="262"/>
    </row>
    <row r="46" spans="1:23" s="6" customFormat="1" ht="18">
      <c r="A46" s="8"/>
      <c r="B46" s="129" t="s">
        <v>16</v>
      </c>
      <c r="C46" s="71">
        <v>21081100</v>
      </c>
      <c r="D46" s="148">
        <v>260</v>
      </c>
      <c r="E46" s="148">
        <v>62</v>
      </c>
      <c r="F46" s="154">
        <v>277.76</v>
      </c>
      <c r="G46" s="160">
        <f t="shared" si="12"/>
        <v>215.76</v>
      </c>
      <c r="H46" s="162">
        <f t="shared" si="10"/>
        <v>447.99999999999994</v>
      </c>
      <c r="I46" s="163">
        <f t="shared" si="13"/>
        <v>17.75999999999999</v>
      </c>
      <c r="J46" s="163">
        <f t="shared" si="15"/>
        <v>106.83076923076922</v>
      </c>
      <c r="K46" s="163">
        <v>20.4</v>
      </c>
      <c r="L46" s="163">
        <f t="shared" si="1"/>
        <v>257.36</v>
      </c>
      <c r="M46" s="216">
        <f t="shared" si="16"/>
        <v>13.615686274509805</v>
      </c>
      <c r="N46" s="162">
        <f>E46-лютий!E43</f>
        <v>22</v>
      </c>
      <c r="O46" s="166">
        <f>F46-лютий!F43</f>
        <v>195.68</v>
      </c>
      <c r="P46" s="165">
        <f t="shared" si="14"/>
        <v>173.68</v>
      </c>
      <c r="Q46" s="163">
        <f t="shared" si="11"/>
        <v>889.4545454545455</v>
      </c>
      <c r="R46" s="36"/>
      <c r="S46" s="93"/>
      <c r="T46" s="145"/>
      <c r="U46" s="245"/>
      <c r="V46" s="131"/>
      <c r="W46" s="262"/>
    </row>
    <row r="47" spans="1:23" s="6" customFormat="1" ht="46.5">
      <c r="A47" s="8"/>
      <c r="B47" s="129" t="s">
        <v>80</v>
      </c>
      <c r="C47" s="71">
        <v>21081500</v>
      </c>
      <c r="D47" s="148">
        <v>97.5</v>
      </c>
      <c r="E47" s="148">
        <v>27.2</v>
      </c>
      <c r="F47" s="154">
        <v>0.51</v>
      </c>
      <c r="G47" s="160">
        <f t="shared" si="12"/>
        <v>-26.689999999999998</v>
      </c>
      <c r="H47" s="162">
        <f t="shared" si="10"/>
        <v>1.875</v>
      </c>
      <c r="I47" s="163">
        <f t="shared" si="13"/>
        <v>-96.99</v>
      </c>
      <c r="J47" s="163">
        <f t="shared" si="15"/>
        <v>0.5230769230769231</v>
      </c>
      <c r="K47" s="163">
        <v>0</v>
      </c>
      <c r="L47" s="163">
        <f t="shared" si="1"/>
        <v>0.51</v>
      </c>
      <c r="M47" s="216"/>
      <c r="N47" s="162">
        <f>E47-лютий!E44</f>
        <v>13.6</v>
      </c>
      <c r="O47" s="166">
        <f>F47-лютий!F44</f>
        <v>0.51</v>
      </c>
      <c r="P47" s="165">
        <f t="shared" si="14"/>
        <v>-13.09</v>
      </c>
      <c r="Q47" s="163">
        <f t="shared" si="11"/>
        <v>3.75</v>
      </c>
      <c r="R47" s="36"/>
      <c r="S47" s="93"/>
      <c r="T47" s="145"/>
      <c r="U47" s="245"/>
      <c r="V47" s="131"/>
      <c r="W47" s="262"/>
    </row>
    <row r="48" spans="1:23" s="6" customFormat="1" ht="30.75">
      <c r="A48" s="8"/>
      <c r="B48" s="146" t="s">
        <v>103</v>
      </c>
      <c r="C48" s="48">
        <v>22010300</v>
      </c>
      <c r="D48" s="148">
        <v>730</v>
      </c>
      <c r="E48" s="148">
        <f>180+100</f>
        <v>280</v>
      </c>
      <c r="F48" s="154">
        <v>300.95</v>
      </c>
      <c r="G48" s="160">
        <f t="shared" si="12"/>
        <v>20.94999999999999</v>
      </c>
      <c r="H48" s="162">
        <f t="shared" si="10"/>
        <v>107.48214285714286</v>
      </c>
      <c r="I48" s="163">
        <f t="shared" si="13"/>
        <v>-429.05</v>
      </c>
      <c r="J48" s="163">
        <f t="shared" si="15"/>
        <v>41.226027397260275</v>
      </c>
      <c r="K48" s="163">
        <v>0</v>
      </c>
      <c r="L48" s="163">
        <f t="shared" si="1"/>
        <v>300.95</v>
      </c>
      <c r="M48" s="216"/>
      <c r="N48" s="162">
        <f>E48-лютий!E45</f>
        <v>160</v>
      </c>
      <c r="O48" s="166">
        <f>F48-лютий!F45</f>
        <v>108.56</v>
      </c>
      <c r="P48" s="165">
        <f t="shared" si="14"/>
        <v>-51.44</v>
      </c>
      <c r="Q48" s="163">
        <f t="shared" si="11"/>
        <v>67.85</v>
      </c>
      <c r="R48" s="36"/>
      <c r="S48" s="93"/>
      <c r="T48" s="145"/>
      <c r="U48" s="245"/>
      <c r="V48" s="131"/>
      <c r="W48" s="262"/>
    </row>
    <row r="49" spans="1:23" s="6" customFormat="1" ht="18" hidden="1">
      <c r="A49" s="8"/>
      <c r="B49" s="129"/>
      <c r="C49" s="48"/>
      <c r="D49" s="148"/>
      <c r="E49" s="148"/>
      <c r="F49" s="154"/>
      <c r="G49" s="160"/>
      <c r="H49" s="162"/>
      <c r="I49" s="163"/>
      <c r="J49" s="163"/>
      <c r="K49" s="163"/>
      <c r="L49" s="163">
        <f t="shared" si="1"/>
        <v>0</v>
      </c>
      <c r="M49" s="216" t="e">
        <f t="shared" si="16"/>
        <v>#DIV/0!</v>
      </c>
      <c r="N49" s="162">
        <f>E49-лютий!E46</f>
        <v>0</v>
      </c>
      <c r="O49" s="166">
        <f>F49-лютий!F46</f>
        <v>0</v>
      </c>
      <c r="P49" s="165"/>
      <c r="Q49" s="163"/>
      <c r="R49" s="36"/>
      <c r="S49" s="93"/>
      <c r="T49" s="145"/>
      <c r="U49" s="245"/>
      <c r="V49" s="131"/>
      <c r="W49" s="262"/>
    </row>
    <row r="50" spans="1:23" s="6" customFormat="1" ht="18">
      <c r="A50" s="8"/>
      <c r="B50" s="32" t="s">
        <v>78</v>
      </c>
      <c r="C50" s="71">
        <v>22012500</v>
      </c>
      <c r="D50" s="148">
        <v>11000</v>
      </c>
      <c r="E50" s="148">
        <f>2300+1040</f>
        <v>3340</v>
      </c>
      <c r="F50" s="154">
        <v>3584.94</v>
      </c>
      <c r="G50" s="160">
        <f t="shared" si="12"/>
        <v>244.94000000000005</v>
      </c>
      <c r="H50" s="162">
        <f t="shared" si="10"/>
        <v>107.33353293413175</v>
      </c>
      <c r="I50" s="163">
        <f t="shared" si="13"/>
        <v>-7415.0599999999995</v>
      </c>
      <c r="J50" s="163">
        <f t="shared" si="15"/>
        <v>32.59036363636364</v>
      </c>
      <c r="K50" s="163">
        <v>2339.58</v>
      </c>
      <c r="L50" s="163">
        <f t="shared" si="1"/>
        <v>1245.3600000000001</v>
      </c>
      <c r="M50" s="216">
        <f t="shared" si="16"/>
        <v>1.5323006693509091</v>
      </c>
      <c r="N50" s="162">
        <f>E50-лютий!E47</f>
        <v>1940</v>
      </c>
      <c r="O50" s="166">
        <f>F50-лютий!F47</f>
        <v>1441.2200000000003</v>
      </c>
      <c r="P50" s="165">
        <f t="shared" si="14"/>
        <v>-498.77999999999975</v>
      </c>
      <c r="Q50" s="163">
        <f t="shared" si="11"/>
        <v>74.28969072164949</v>
      </c>
      <c r="R50" s="36"/>
      <c r="S50" s="93"/>
      <c r="T50" s="145"/>
      <c r="U50" s="245"/>
      <c r="V50" s="131"/>
      <c r="W50" s="262"/>
    </row>
    <row r="51" spans="1:23" s="6" customFormat="1" ht="31.5">
      <c r="A51" s="8"/>
      <c r="B51" s="147" t="s">
        <v>99</v>
      </c>
      <c r="C51" s="71">
        <v>22012600</v>
      </c>
      <c r="D51" s="148">
        <v>310</v>
      </c>
      <c r="E51" s="148">
        <v>75</v>
      </c>
      <c r="F51" s="154">
        <v>135.2</v>
      </c>
      <c r="G51" s="160">
        <f t="shared" si="12"/>
        <v>60.19999999999999</v>
      </c>
      <c r="H51" s="162">
        <f t="shared" si="10"/>
        <v>180.26666666666665</v>
      </c>
      <c r="I51" s="163">
        <f t="shared" si="13"/>
        <v>-174.8</v>
      </c>
      <c r="J51" s="163">
        <f t="shared" si="15"/>
        <v>43.61290322580645</v>
      </c>
      <c r="K51" s="163">
        <v>1.2</v>
      </c>
      <c r="L51" s="163">
        <f t="shared" si="1"/>
        <v>134</v>
      </c>
      <c r="M51" s="216"/>
      <c r="N51" s="162">
        <f>E51-лютий!E48</f>
        <v>25</v>
      </c>
      <c r="O51" s="166">
        <f>F51-лютий!F48</f>
        <v>44.75999999999999</v>
      </c>
      <c r="P51" s="165">
        <f t="shared" si="14"/>
        <v>19.75999999999999</v>
      </c>
      <c r="Q51" s="163">
        <f t="shared" si="11"/>
        <v>179.03999999999996</v>
      </c>
      <c r="R51" s="36"/>
      <c r="S51" s="93"/>
      <c r="T51" s="145"/>
      <c r="U51" s="245"/>
      <c r="V51" s="131"/>
      <c r="W51" s="262"/>
    </row>
    <row r="52" spans="1:23" s="6" customFormat="1" ht="31.5">
      <c r="A52" s="8"/>
      <c r="B52" s="147" t="s">
        <v>104</v>
      </c>
      <c r="C52" s="71">
        <v>22012900</v>
      </c>
      <c r="D52" s="148">
        <v>20</v>
      </c>
      <c r="E52" s="148">
        <v>3</v>
      </c>
      <c r="F52" s="154">
        <v>4</v>
      </c>
      <c r="G52" s="160">
        <f t="shared" si="12"/>
        <v>1</v>
      </c>
      <c r="H52" s="162">
        <f t="shared" si="10"/>
        <v>133.33333333333331</v>
      </c>
      <c r="I52" s="163">
        <f t="shared" si="13"/>
        <v>-16</v>
      </c>
      <c r="J52" s="163">
        <f t="shared" si="15"/>
        <v>20</v>
      </c>
      <c r="K52" s="163">
        <v>0</v>
      </c>
      <c r="L52" s="163">
        <f t="shared" si="1"/>
        <v>4</v>
      </c>
      <c r="M52" s="216"/>
      <c r="N52" s="162">
        <f>E52-лютий!E49</f>
        <v>1</v>
      </c>
      <c r="O52" s="166">
        <f>F52-лютий!F49</f>
        <v>4</v>
      </c>
      <c r="P52" s="165">
        <f t="shared" si="14"/>
        <v>3</v>
      </c>
      <c r="Q52" s="163">
        <f t="shared" si="11"/>
        <v>400</v>
      </c>
      <c r="R52" s="36"/>
      <c r="S52" s="93"/>
      <c r="T52" s="145"/>
      <c r="U52" s="245"/>
      <c r="V52" s="131"/>
      <c r="W52" s="262"/>
    </row>
    <row r="53" spans="1:23" s="6" customFormat="1" ht="30.75">
      <c r="A53" s="8"/>
      <c r="B53" s="129" t="s">
        <v>14</v>
      </c>
      <c r="C53" s="48">
        <v>22080400</v>
      </c>
      <c r="D53" s="148">
        <v>7275</v>
      </c>
      <c r="E53" s="148">
        <v>1820</v>
      </c>
      <c r="F53" s="154">
        <v>1625.09</v>
      </c>
      <c r="G53" s="160">
        <f t="shared" si="12"/>
        <v>-194.91000000000008</v>
      </c>
      <c r="H53" s="162">
        <f t="shared" si="10"/>
        <v>89.29065934065935</v>
      </c>
      <c r="I53" s="163">
        <f t="shared" si="13"/>
        <v>-5649.91</v>
      </c>
      <c r="J53" s="163">
        <f t="shared" si="15"/>
        <v>22.33800687285223</v>
      </c>
      <c r="K53" s="163">
        <v>2001.53</v>
      </c>
      <c r="L53" s="163">
        <f t="shared" si="1"/>
        <v>-376.44000000000005</v>
      </c>
      <c r="M53" s="216">
        <f t="shared" si="16"/>
        <v>0.8119238782331516</v>
      </c>
      <c r="N53" s="162">
        <f>E53-лютий!E50</f>
        <v>620</v>
      </c>
      <c r="O53" s="166">
        <f>F53-лютий!F50</f>
        <v>461.74</v>
      </c>
      <c r="P53" s="165">
        <f t="shared" si="14"/>
        <v>-158.26</v>
      </c>
      <c r="Q53" s="163">
        <f t="shared" si="11"/>
        <v>74.4741935483871</v>
      </c>
      <c r="R53" s="36"/>
      <c r="S53" s="93"/>
      <c r="T53" s="145"/>
      <c r="U53" s="245"/>
      <c r="V53" s="131"/>
      <c r="W53" s="262"/>
    </row>
    <row r="54" spans="1:23" s="6" customFormat="1" ht="18">
      <c r="A54" s="8"/>
      <c r="B54" s="129" t="s">
        <v>15</v>
      </c>
      <c r="C54" s="42">
        <v>22090000</v>
      </c>
      <c r="D54" s="148">
        <v>1200</v>
      </c>
      <c r="E54" s="148">
        <v>235</v>
      </c>
      <c r="F54" s="154">
        <v>246</v>
      </c>
      <c r="G54" s="160">
        <f t="shared" si="12"/>
        <v>11</v>
      </c>
      <c r="H54" s="162">
        <f t="shared" si="10"/>
        <v>104.68085106382978</v>
      </c>
      <c r="I54" s="163">
        <f t="shared" si="13"/>
        <v>-954</v>
      </c>
      <c r="J54" s="163">
        <f t="shared" si="15"/>
        <v>20.5</v>
      </c>
      <c r="K54" s="163">
        <v>1500.1</v>
      </c>
      <c r="L54" s="163">
        <f t="shared" si="1"/>
        <v>-1254.1</v>
      </c>
      <c r="M54" s="216">
        <f t="shared" si="16"/>
        <v>0.16398906739550698</v>
      </c>
      <c r="N54" s="162">
        <f>E54-лютий!E51</f>
        <v>95</v>
      </c>
      <c r="O54" s="166">
        <f>F54-лютий!F51</f>
        <v>156.95</v>
      </c>
      <c r="P54" s="165">
        <f t="shared" si="14"/>
        <v>61.94999999999999</v>
      </c>
      <c r="Q54" s="163">
        <f t="shared" si="11"/>
        <v>165.21052631578945</v>
      </c>
      <c r="R54" s="36"/>
      <c r="S54" s="93"/>
      <c r="T54" s="145"/>
      <c r="U54" s="245"/>
      <c r="V54" s="131"/>
      <c r="W54" s="262"/>
    </row>
    <row r="55" spans="1:23" s="6" customFormat="1" ht="15" hidden="1">
      <c r="A55" s="8"/>
      <c r="B55" s="49" t="s">
        <v>97</v>
      </c>
      <c r="C55" s="122">
        <v>22090100</v>
      </c>
      <c r="D55" s="102">
        <v>998</v>
      </c>
      <c r="E55" s="102">
        <v>190</v>
      </c>
      <c r="F55" s="138">
        <v>220.94</v>
      </c>
      <c r="G55" s="33">
        <f t="shared" si="12"/>
        <v>30.939999999999998</v>
      </c>
      <c r="H55" s="29">
        <f t="shared" si="10"/>
        <v>116.28421052631579</v>
      </c>
      <c r="I55" s="103">
        <f t="shared" si="13"/>
        <v>-777.06</v>
      </c>
      <c r="J55" s="103">
        <f t="shared" si="15"/>
        <v>22.138276553106213</v>
      </c>
      <c r="K55" s="103">
        <v>163.68</v>
      </c>
      <c r="L55" s="103">
        <f>F55-K55</f>
        <v>57.25999999999999</v>
      </c>
      <c r="M55" s="108">
        <f t="shared" si="16"/>
        <v>1.3498289345063539</v>
      </c>
      <c r="N55" s="104">
        <f>E55-лютий!E52</f>
        <v>80</v>
      </c>
      <c r="O55" s="142">
        <f>F55-лютий!F52</f>
        <v>147.23000000000002</v>
      </c>
      <c r="P55" s="105">
        <f t="shared" si="14"/>
        <v>67.23000000000002</v>
      </c>
      <c r="Q55" s="118">
        <f t="shared" si="11"/>
        <v>184.03750000000002</v>
      </c>
      <c r="R55" s="36"/>
      <c r="S55" s="93"/>
      <c r="T55" s="145"/>
      <c r="U55" s="245"/>
      <c r="V55" s="131"/>
      <c r="W55" s="262"/>
    </row>
    <row r="56" spans="1:23" s="6" customFormat="1" ht="15" hidden="1">
      <c r="A56" s="8"/>
      <c r="B56" s="49" t="s">
        <v>94</v>
      </c>
      <c r="C56" s="122">
        <v>22090200</v>
      </c>
      <c r="D56" s="102">
        <v>1</v>
      </c>
      <c r="E56" s="102">
        <v>0</v>
      </c>
      <c r="F56" s="138">
        <v>0.1</v>
      </c>
      <c r="G56" s="33">
        <f t="shared" si="12"/>
        <v>0.1</v>
      </c>
      <c r="H56" s="29" t="e">
        <f t="shared" si="10"/>
        <v>#DIV/0!</v>
      </c>
      <c r="I56" s="103">
        <f t="shared" si="13"/>
        <v>-0.9</v>
      </c>
      <c r="J56" s="103">
        <f t="shared" si="15"/>
        <v>10</v>
      </c>
      <c r="K56" s="103">
        <v>0.12</v>
      </c>
      <c r="L56" s="103">
        <f>F56-K56</f>
        <v>-0.01999999999999999</v>
      </c>
      <c r="M56" s="108">
        <f t="shared" si="16"/>
        <v>0.8333333333333334</v>
      </c>
      <c r="N56" s="104">
        <f>E56-лютий!E53</f>
        <v>0</v>
      </c>
      <c r="O56" s="142">
        <f>F56-лютий!F53</f>
        <v>0</v>
      </c>
      <c r="P56" s="105">
        <f t="shared" si="14"/>
        <v>0</v>
      </c>
      <c r="Q56" s="118" t="e">
        <f t="shared" si="11"/>
        <v>#DIV/0!</v>
      </c>
      <c r="R56" s="36"/>
      <c r="S56" s="93"/>
      <c r="T56" s="145"/>
      <c r="U56" s="245"/>
      <c r="V56" s="131"/>
      <c r="W56" s="262"/>
    </row>
    <row r="57" spans="1:23" s="6" customFormat="1" ht="15" hidden="1">
      <c r="A57" s="8"/>
      <c r="B57" s="49" t="s">
        <v>95</v>
      </c>
      <c r="C57" s="122">
        <v>22090300</v>
      </c>
      <c r="D57" s="102">
        <v>1</v>
      </c>
      <c r="E57" s="102">
        <v>0</v>
      </c>
      <c r="F57" s="138">
        <v>0</v>
      </c>
      <c r="G57" s="33">
        <f t="shared" si="12"/>
        <v>0</v>
      </c>
      <c r="H57" s="29"/>
      <c r="I57" s="103">
        <f t="shared" si="13"/>
        <v>-1</v>
      </c>
      <c r="J57" s="103">
        <f t="shared" si="15"/>
        <v>0</v>
      </c>
      <c r="K57" s="103">
        <v>0</v>
      </c>
      <c r="L57" s="103">
        <f>F57-K57</f>
        <v>0</v>
      </c>
      <c r="M57" s="108" t="e">
        <f t="shared" si="16"/>
        <v>#DIV/0!</v>
      </c>
      <c r="N57" s="104">
        <f>E57-лютий!E54</f>
        <v>0</v>
      </c>
      <c r="O57" s="142">
        <f>F57-лютий!F54</f>
        <v>0</v>
      </c>
      <c r="P57" s="105">
        <f t="shared" si="14"/>
        <v>0</v>
      </c>
      <c r="Q57" s="118"/>
      <c r="R57" s="36"/>
      <c r="S57" s="93"/>
      <c r="T57" s="145"/>
      <c r="U57" s="245"/>
      <c r="V57" s="131"/>
      <c r="W57" s="262"/>
    </row>
    <row r="58" spans="1:23" s="6" customFormat="1" ht="15" hidden="1">
      <c r="A58" s="8"/>
      <c r="B58" s="49" t="s">
        <v>96</v>
      </c>
      <c r="C58" s="122">
        <v>22090400</v>
      </c>
      <c r="D58" s="102">
        <v>200</v>
      </c>
      <c r="E58" s="102">
        <v>45</v>
      </c>
      <c r="F58" s="138">
        <v>24.96</v>
      </c>
      <c r="G58" s="33">
        <f t="shared" si="12"/>
        <v>-20.04</v>
      </c>
      <c r="H58" s="29">
        <f t="shared" si="10"/>
        <v>55.46666666666666</v>
      </c>
      <c r="I58" s="103">
        <f t="shared" si="13"/>
        <v>-175.04</v>
      </c>
      <c r="J58" s="103">
        <f t="shared" si="15"/>
        <v>12.48</v>
      </c>
      <c r="K58" s="103">
        <v>1336.3</v>
      </c>
      <c r="L58" s="103">
        <f>F58-K58</f>
        <v>-1311.34</v>
      </c>
      <c r="M58" s="108">
        <f t="shared" si="16"/>
        <v>0.018678440469954354</v>
      </c>
      <c r="N58" s="104">
        <f>E58-лютий!E55</f>
        <v>15</v>
      </c>
      <c r="O58" s="142">
        <f>F58-лютий!F55</f>
        <v>9.72</v>
      </c>
      <c r="P58" s="105">
        <f t="shared" si="14"/>
        <v>-5.279999999999999</v>
      </c>
      <c r="Q58" s="118">
        <f t="shared" si="11"/>
        <v>64.8</v>
      </c>
      <c r="R58" s="36"/>
      <c r="S58" s="93"/>
      <c r="T58" s="145"/>
      <c r="U58" s="245"/>
      <c r="V58" s="131"/>
      <c r="W58" s="262"/>
    </row>
    <row r="59" spans="1:23" s="6" customFormat="1" ht="46.5">
      <c r="A59" s="8"/>
      <c r="B59" s="13" t="s">
        <v>17</v>
      </c>
      <c r="C59" s="11" t="s">
        <v>18</v>
      </c>
      <c r="D59" s="148">
        <v>2.5</v>
      </c>
      <c r="E59" s="148">
        <v>2.5</v>
      </c>
      <c r="F59" s="154">
        <v>2.04</v>
      </c>
      <c r="G59" s="160">
        <f t="shared" si="12"/>
        <v>-0.45999999999999996</v>
      </c>
      <c r="H59" s="162"/>
      <c r="I59" s="163">
        <f t="shared" si="13"/>
        <v>-0.45999999999999996</v>
      </c>
      <c r="J59" s="163">
        <f t="shared" si="15"/>
        <v>81.60000000000001</v>
      </c>
      <c r="K59" s="163">
        <v>2.46</v>
      </c>
      <c r="L59" s="163">
        <f>F59-K59</f>
        <v>-0.41999999999999993</v>
      </c>
      <c r="M59" s="216">
        <f t="shared" si="16"/>
        <v>0.8292682926829269</v>
      </c>
      <c r="N59" s="162">
        <f>E59-лютий!E56</f>
        <v>0</v>
      </c>
      <c r="O59" s="166">
        <f>F59-лютий!F56</f>
        <v>0.3700000000000001</v>
      </c>
      <c r="P59" s="165">
        <f t="shared" si="14"/>
        <v>0.3700000000000001</v>
      </c>
      <c r="Q59" s="163"/>
      <c r="R59" s="36"/>
      <c r="S59" s="93"/>
      <c r="T59" s="145"/>
      <c r="U59" s="245"/>
      <c r="V59" s="131"/>
      <c r="W59" s="262"/>
    </row>
    <row r="60" spans="1:23" s="6" customFormat="1" ht="15.75" customHeight="1">
      <c r="A60" s="8"/>
      <c r="B60" s="130" t="s">
        <v>13</v>
      </c>
      <c r="C60" s="11" t="s">
        <v>19</v>
      </c>
      <c r="D60" s="148">
        <v>7350</v>
      </c>
      <c r="E60" s="148">
        <f>2800+260</f>
        <v>3060</v>
      </c>
      <c r="F60" s="154">
        <v>3075.73</v>
      </c>
      <c r="G60" s="160">
        <f t="shared" si="12"/>
        <v>15.730000000000018</v>
      </c>
      <c r="H60" s="162">
        <f t="shared" si="10"/>
        <v>100.5140522875817</v>
      </c>
      <c r="I60" s="163">
        <f t="shared" si="13"/>
        <v>-4274.27</v>
      </c>
      <c r="J60" s="163">
        <f t="shared" si="15"/>
        <v>41.846666666666664</v>
      </c>
      <c r="K60" s="163">
        <v>1114.84</v>
      </c>
      <c r="L60" s="163">
        <f aca="true" t="shared" si="17" ref="L60:L66">F60-K60</f>
        <v>1960.89</v>
      </c>
      <c r="M60" s="216">
        <f t="shared" si="16"/>
        <v>2.7588981378493775</v>
      </c>
      <c r="N60" s="162">
        <f>E60-лютий!E57</f>
        <v>860</v>
      </c>
      <c r="O60" s="166">
        <f>F60-лютий!F57</f>
        <v>364.3000000000002</v>
      </c>
      <c r="P60" s="165">
        <f t="shared" si="14"/>
        <v>-495.6999999999998</v>
      </c>
      <c r="Q60" s="163">
        <f t="shared" si="11"/>
        <v>42.36046511627909</v>
      </c>
      <c r="R60" s="36"/>
      <c r="S60" s="93"/>
      <c r="T60" s="145"/>
      <c r="U60" s="245"/>
      <c r="V60" s="131"/>
      <c r="W60" s="262"/>
    </row>
    <row r="61" spans="1:23" s="6" customFormat="1" ht="18" hidden="1">
      <c r="A61" s="8"/>
      <c r="B61" s="12" t="s">
        <v>22</v>
      </c>
      <c r="C61" s="60" t="s">
        <v>23</v>
      </c>
      <c r="D61" s="30">
        <v>0</v>
      </c>
      <c r="E61" s="30">
        <v>0</v>
      </c>
      <c r="F61" s="137">
        <v>0</v>
      </c>
      <c r="G61" s="160">
        <f t="shared" si="12"/>
        <v>0</v>
      </c>
      <c r="H61" s="162" t="e">
        <f t="shared" si="10"/>
        <v>#DIV/0!</v>
      </c>
      <c r="I61" s="163">
        <f t="shared" si="13"/>
        <v>0</v>
      </c>
      <c r="J61" s="163" t="e">
        <f t="shared" si="15"/>
        <v>#DIV/0!</v>
      </c>
      <c r="K61" s="163"/>
      <c r="L61" s="163">
        <f t="shared" si="17"/>
        <v>0</v>
      </c>
      <c r="M61" s="216" t="e">
        <f t="shared" si="16"/>
        <v>#DIV/0!</v>
      </c>
      <c r="N61" s="162">
        <f>E61-лютий!E58</f>
        <v>0</v>
      </c>
      <c r="O61" s="166">
        <f>F61-лютий!F58</f>
        <v>0</v>
      </c>
      <c r="P61" s="165">
        <f t="shared" si="14"/>
        <v>0</v>
      </c>
      <c r="Q61" s="163" t="e">
        <f t="shared" si="11"/>
        <v>#DIV/0!</v>
      </c>
      <c r="R61" s="36"/>
      <c r="S61" s="93"/>
      <c r="T61" s="145"/>
      <c r="U61" s="245"/>
      <c r="V61" s="131"/>
      <c r="W61" s="262"/>
    </row>
    <row r="62" spans="1:23" s="6" customFormat="1" ht="30.75">
      <c r="A62" s="8"/>
      <c r="B62" s="49" t="s">
        <v>42</v>
      </c>
      <c r="C62" s="60"/>
      <c r="D62" s="102"/>
      <c r="E62" s="102"/>
      <c r="F62" s="199">
        <f>421.73+6</f>
        <v>427.73</v>
      </c>
      <c r="G62" s="160"/>
      <c r="H62" s="162"/>
      <c r="I62" s="163"/>
      <c r="J62" s="163"/>
      <c r="K62" s="164">
        <v>230.44</v>
      </c>
      <c r="L62" s="163">
        <f t="shared" si="17"/>
        <v>197.29000000000002</v>
      </c>
      <c r="M62" s="216">
        <f t="shared" si="16"/>
        <v>1.856144766533588</v>
      </c>
      <c r="N62" s="193">
        <f>E62-лютий!E59</f>
        <v>0</v>
      </c>
      <c r="O62" s="177">
        <f>F62-лютий!F59</f>
        <v>136.40000000000003</v>
      </c>
      <c r="P62" s="164"/>
      <c r="Q62" s="163"/>
      <c r="R62" s="36"/>
      <c r="S62" s="93"/>
      <c r="T62" s="145"/>
      <c r="U62" s="245"/>
      <c r="V62" s="131"/>
      <c r="W62" s="262"/>
    </row>
    <row r="63" spans="1:23" s="6" customFormat="1" ht="18" hidden="1">
      <c r="A63" s="8"/>
      <c r="B63" s="130" t="s">
        <v>20</v>
      </c>
      <c r="C63" s="127" t="s">
        <v>21</v>
      </c>
      <c r="D63" s="33">
        <v>0</v>
      </c>
      <c r="E63" s="33">
        <v>0</v>
      </c>
      <c r="F63" s="139">
        <v>0</v>
      </c>
      <c r="G63" s="160">
        <f t="shared" si="12"/>
        <v>0</v>
      </c>
      <c r="H63" s="162"/>
      <c r="I63" s="163">
        <f t="shared" si="13"/>
        <v>0</v>
      </c>
      <c r="J63" s="163"/>
      <c r="K63" s="164"/>
      <c r="L63" s="163">
        <f t="shared" si="17"/>
        <v>0</v>
      </c>
      <c r="M63" s="216" t="e">
        <f t="shared" si="16"/>
        <v>#DIV/0!</v>
      </c>
      <c r="N63" s="162">
        <f>E63-лютий!E60</f>
        <v>0</v>
      </c>
      <c r="O63" s="166">
        <f>F63-лютий!F60</f>
        <v>0</v>
      </c>
      <c r="P63" s="165">
        <f t="shared" si="14"/>
        <v>0</v>
      </c>
      <c r="Q63" s="163"/>
      <c r="R63" s="36"/>
      <c r="S63" s="93"/>
      <c r="T63" s="145"/>
      <c r="U63" s="245"/>
      <c r="V63" s="131"/>
      <c r="W63" s="262"/>
    </row>
    <row r="64" spans="1:23" s="6" customFormat="1" ht="44.25" customHeight="1">
      <c r="A64" s="8"/>
      <c r="B64" s="130" t="s">
        <v>43</v>
      </c>
      <c r="C64" s="42">
        <v>24061900</v>
      </c>
      <c r="D64" s="148">
        <v>160</v>
      </c>
      <c r="E64" s="148">
        <v>10</v>
      </c>
      <c r="F64" s="154">
        <v>32.89</v>
      </c>
      <c r="G64" s="160">
        <f t="shared" si="12"/>
        <v>22.89</v>
      </c>
      <c r="H64" s="162">
        <f t="shared" si="10"/>
        <v>328.90000000000003</v>
      </c>
      <c r="I64" s="163">
        <f t="shared" si="13"/>
        <v>-127.11</v>
      </c>
      <c r="J64" s="163">
        <f t="shared" si="15"/>
        <v>20.556250000000002</v>
      </c>
      <c r="K64" s="163">
        <v>33.09</v>
      </c>
      <c r="L64" s="163">
        <f t="shared" si="17"/>
        <v>-0.20000000000000284</v>
      </c>
      <c r="M64" s="216">
        <f t="shared" si="16"/>
        <v>0.9939558779087336</v>
      </c>
      <c r="N64" s="162">
        <f>E64-лютий!E61</f>
        <v>0</v>
      </c>
      <c r="O64" s="166">
        <f>F64-лютий!F61</f>
        <v>0</v>
      </c>
      <c r="P64" s="165">
        <f t="shared" si="14"/>
        <v>0</v>
      </c>
      <c r="Q64" s="163"/>
      <c r="R64" s="36"/>
      <c r="S64" s="93"/>
      <c r="T64" s="145"/>
      <c r="U64" s="245"/>
      <c r="V64" s="131"/>
      <c r="W64" s="262"/>
    </row>
    <row r="65" spans="1:23" s="6" customFormat="1" ht="18">
      <c r="A65" s="8"/>
      <c r="B65" s="12" t="s">
        <v>44</v>
      </c>
      <c r="C65" s="42">
        <v>31010200</v>
      </c>
      <c r="D65" s="148">
        <v>15</v>
      </c>
      <c r="E65" s="148">
        <v>3.7</v>
      </c>
      <c r="F65" s="154">
        <v>14.27</v>
      </c>
      <c r="G65" s="160">
        <f t="shared" si="12"/>
        <v>10.57</v>
      </c>
      <c r="H65" s="162">
        <f t="shared" si="10"/>
        <v>385.6756756756757</v>
      </c>
      <c r="I65" s="163">
        <f t="shared" si="13"/>
        <v>-0.7300000000000004</v>
      </c>
      <c r="J65" s="163">
        <f t="shared" si="15"/>
        <v>95.13333333333333</v>
      </c>
      <c r="K65" s="163">
        <v>5.8</v>
      </c>
      <c r="L65" s="163">
        <f t="shared" si="17"/>
        <v>8.469999999999999</v>
      </c>
      <c r="M65" s="216">
        <f t="shared" si="16"/>
        <v>2.4603448275862068</v>
      </c>
      <c r="N65" s="162">
        <f>E65-лютий!E62</f>
        <v>1.2000000000000002</v>
      </c>
      <c r="O65" s="166">
        <f>F65-лютий!F62</f>
        <v>5.67</v>
      </c>
      <c r="P65" s="165">
        <f t="shared" si="14"/>
        <v>4.47</v>
      </c>
      <c r="Q65" s="163">
        <f t="shared" si="11"/>
        <v>472.49999999999994</v>
      </c>
      <c r="R65" s="36"/>
      <c r="S65" s="93"/>
      <c r="T65" s="145">
        <v>0.3</v>
      </c>
      <c r="U65" s="245">
        <f>O65-T65</f>
        <v>5.37</v>
      </c>
      <c r="V65" s="131"/>
      <c r="W65" s="262"/>
    </row>
    <row r="66" spans="1:23" s="6" customFormat="1" ht="30.75">
      <c r="A66" s="8"/>
      <c r="B66" s="130" t="s">
        <v>57</v>
      </c>
      <c r="C66" s="42">
        <v>31020000</v>
      </c>
      <c r="D66" s="148">
        <v>0</v>
      </c>
      <c r="E66" s="148">
        <v>0</v>
      </c>
      <c r="F66" s="154">
        <v>-5.33</v>
      </c>
      <c r="G66" s="160">
        <f t="shared" si="12"/>
        <v>-5.33</v>
      </c>
      <c r="H66" s="162"/>
      <c r="I66" s="163">
        <f t="shared" si="13"/>
        <v>-5.33</v>
      </c>
      <c r="J66" s="163"/>
      <c r="K66" s="163">
        <v>0</v>
      </c>
      <c r="L66" s="163">
        <f t="shared" si="17"/>
        <v>-5.33</v>
      </c>
      <c r="M66" s="216" t="e">
        <f t="shared" si="16"/>
        <v>#DIV/0!</v>
      </c>
      <c r="N66" s="162">
        <f>E66-лютий!E63</f>
        <v>0</v>
      </c>
      <c r="O66" s="166">
        <f>F66-лютий!F63</f>
        <v>0</v>
      </c>
      <c r="P66" s="165">
        <f t="shared" si="14"/>
        <v>0</v>
      </c>
      <c r="Q66" s="163"/>
      <c r="R66" s="36"/>
      <c r="S66" s="93"/>
      <c r="T66" s="145"/>
      <c r="U66" s="245"/>
      <c r="V66" s="131"/>
      <c r="W66" s="262"/>
    </row>
    <row r="67" spans="1:23" s="6" customFormat="1" ht="18">
      <c r="A67" s="9"/>
      <c r="B67" s="14" t="s">
        <v>173</v>
      </c>
      <c r="C67" s="61"/>
      <c r="D67" s="149">
        <f>D8+D41+D65+D66</f>
        <v>1357491.1</v>
      </c>
      <c r="E67" s="149">
        <f>E8+E41+E65+E66</f>
        <v>306856.9</v>
      </c>
      <c r="F67" s="149">
        <f>F8+F41+F65+F66</f>
        <v>307428.99999999994</v>
      </c>
      <c r="G67" s="149">
        <f>F67-E67</f>
        <v>572.0999999999185</v>
      </c>
      <c r="H67" s="150">
        <f>F67/E67*100</f>
        <v>100.18643869503991</v>
      </c>
      <c r="I67" s="151">
        <f>F67-D67</f>
        <v>-1050062.1</v>
      </c>
      <c r="J67" s="151">
        <f>F67/D67*100</f>
        <v>22.646851975677773</v>
      </c>
      <c r="K67" s="151">
        <v>220465.78</v>
      </c>
      <c r="L67" s="151">
        <f>F67-K67</f>
        <v>86963.21999999994</v>
      </c>
      <c r="M67" s="217">
        <f>F67/K67</f>
        <v>1.3944522365330345</v>
      </c>
      <c r="N67" s="149">
        <f>N8+N41+N65+N66</f>
        <v>102834.8</v>
      </c>
      <c r="O67" s="149">
        <f>O8+O41+O65+O66</f>
        <v>103902.62999999998</v>
      </c>
      <c r="P67" s="153">
        <f>O67-N67</f>
        <v>1067.8299999999726</v>
      </c>
      <c r="Q67" s="151">
        <f>O67/N67*100</f>
        <v>101.03839361772471</v>
      </c>
      <c r="R67" s="26">
        <f>O67-34768</f>
        <v>69134.62999999998</v>
      </c>
      <c r="S67" s="114">
        <f>O67/34768</f>
        <v>2.988455763920846</v>
      </c>
      <c r="T67" s="145">
        <v>89561.4</v>
      </c>
      <c r="U67" s="245">
        <f>O67-T67</f>
        <v>14341.229999999981</v>
      </c>
      <c r="V67" s="131">
        <v>293087.8</v>
      </c>
      <c r="W67" s="263">
        <f>F67-V67</f>
        <v>14341.199999999953</v>
      </c>
    </row>
    <row r="68" spans="1:23" s="47" customFormat="1" ht="17.25" hidden="1">
      <c r="A68" s="44"/>
      <c r="B68" s="54"/>
      <c r="C68" s="62"/>
      <c r="D68" s="45"/>
      <c r="E68" s="45"/>
      <c r="F68" s="81"/>
      <c r="G68" s="76"/>
      <c r="H68" s="46"/>
      <c r="I68" s="53"/>
      <c r="J68" s="34"/>
      <c r="K68" s="34"/>
      <c r="L68" s="34"/>
      <c r="M68" s="34"/>
      <c r="N68" s="46"/>
      <c r="O68" s="45"/>
      <c r="P68" s="78"/>
      <c r="Q68" s="34"/>
      <c r="R68" s="34"/>
      <c r="S68" s="95"/>
      <c r="T68" s="246"/>
      <c r="U68" s="249"/>
      <c r="V68" s="261"/>
      <c r="W68" s="261"/>
    </row>
    <row r="69" spans="1:23" s="47" customFormat="1" ht="17.25" hidden="1">
      <c r="A69" s="44"/>
      <c r="B69" s="55"/>
      <c r="C69" s="62"/>
      <c r="D69" s="56"/>
      <c r="E69" s="45"/>
      <c r="F69" s="81"/>
      <c r="G69" s="39"/>
      <c r="H69" s="46"/>
      <c r="I69" s="57"/>
      <c r="J69" s="34"/>
      <c r="K69" s="34"/>
      <c r="L69" s="34"/>
      <c r="M69" s="34"/>
      <c r="N69" s="29"/>
      <c r="O69" s="45"/>
      <c r="P69" s="58"/>
      <c r="Q69" s="34"/>
      <c r="R69" s="34"/>
      <c r="S69" s="95"/>
      <c r="T69" s="246"/>
      <c r="U69" s="249"/>
      <c r="V69" s="261"/>
      <c r="W69" s="261"/>
    </row>
    <row r="70" spans="1:23" s="47" customFormat="1" ht="17.25" hidden="1">
      <c r="A70" s="44"/>
      <c r="B70" s="55"/>
      <c r="C70" s="62"/>
      <c r="D70" s="56"/>
      <c r="E70" s="33"/>
      <c r="F70" s="110"/>
      <c r="G70" s="39"/>
      <c r="H70" s="46"/>
      <c r="I70" s="57"/>
      <c r="J70" s="34"/>
      <c r="K70" s="34"/>
      <c r="L70" s="34"/>
      <c r="M70" s="34"/>
      <c r="N70" s="29"/>
      <c r="O70" s="56"/>
      <c r="P70" s="78"/>
      <c r="Q70" s="34"/>
      <c r="R70" s="34"/>
      <c r="S70" s="95"/>
      <c r="T70" s="246"/>
      <c r="U70" s="249"/>
      <c r="V70" s="261"/>
      <c r="W70" s="261"/>
    </row>
    <row r="71" spans="2:19" ht="15">
      <c r="B71" s="22" t="s">
        <v>106</v>
      </c>
      <c r="C71" s="63"/>
      <c r="D71" s="24"/>
      <c r="E71" s="24"/>
      <c r="F71" s="140"/>
      <c r="G71" s="33"/>
      <c r="H71" s="29"/>
      <c r="I71" s="37"/>
      <c r="J71" s="37"/>
      <c r="K71" s="37"/>
      <c r="L71" s="37"/>
      <c r="M71" s="37"/>
      <c r="N71" s="30"/>
      <c r="O71" s="144"/>
      <c r="P71" s="35"/>
      <c r="Q71" s="37"/>
      <c r="R71" s="37"/>
      <c r="S71" s="96"/>
    </row>
    <row r="72" spans="2:19" ht="25.5" customHeight="1" hidden="1">
      <c r="B72" s="232" t="s">
        <v>100</v>
      </c>
      <c r="C72" s="133">
        <v>12020000</v>
      </c>
      <c r="D72" s="178">
        <v>0</v>
      </c>
      <c r="E72" s="178"/>
      <c r="F72" s="179">
        <v>0.01</v>
      </c>
      <c r="G72" s="160"/>
      <c r="H72" s="162"/>
      <c r="I72" s="165"/>
      <c r="J72" s="165"/>
      <c r="K72" s="165">
        <v>0.01</v>
      </c>
      <c r="L72" s="165">
        <f>F72-K72</f>
        <v>0</v>
      </c>
      <c r="M72" s="207">
        <f>F72/K72</f>
        <v>1</v>
      </c>
      <c r="N72" s="160">
        <f>E72-'січень 17'!E69</f>
        <v>0</v>
      </c>
      <c r="O72" s="180">
        <f>F72-'січень 17'!F69</f>
        <v>0</v>
      </c>
      <c r="P72" s="165"/>
      <c r="Q72" s="165"/>
      <c r="R72" s="37"/>
      <c r="S72" s="96"/>
    </row>
    <row r="73" spans="2:19" ht="31.5" hidden="1">
      <c r="B73" s="233" t="s">
        <v>62</v>
      </c>
      <c r="C73" s="72">
        <v>18041500</v>
      </c>
      <c r="D73" s="178">
        <v>0</v>
      </c>
      <c r="E73" s="178"/>
      <c r="F73" s="179">
        <v>0</v>
      </c>
      <c r="G73" s="160">
        <f>F73-E73</f>
        <v>0</v>
      </c>
      <c r="H73" s="162"/>
      <c r="I73" s="165">
        <f>F73-D73</f>
        <v>0</v>
      </c>
      <c r="J73" s="165"/>
      <c r="K73" s="165">
        <v>-55.72</v>
      </c>
      <c r="L73" s="165">
        <f>F73-K73</f>
        <v>55.72</v>
      </c>
      <c r="M73" s="207">
        <f>F73/K73</f>
        <v>0</v>
      </c>
      <c r="N73" s="160">
        <f>E73-'січень 17'!E70</f>
        <v>0</v>
      </c>
      <c r="O73" s="180">
        <f>F73-'січень 17'!F70</f>
        <v>0</v>
      </c>
      <c r="P73" s="165">
        <f>O73-N73</f>
        <v>0</v>
      </c>
      <c r="Q73" s="165"/>
      <c r="R73" s="37"/>
      <c r="S73" s="96"/>
    </row>
    <row r="74" spans="2:19" ht="17.25" hidden="1">
      <c r="B74" s="243" t="s">
        <v>45</v>
      </c>
      <c r="C74" s="73"/>
      <c r="D74" s="181">
        <f>D73</f>
        <v>0</v>
      </c>
      <c r="E74" s="181">
        <f>E73</f>
        <v>0</v>
      </c>
      <c r="F74" s="182">
        <f>SUM(F72:F73)</f>
        <v>0.01</v>
      </c>
      <c r="G74" s="183">
        <f>F74-E74</f>
        <v>0.01</v>
      </c>
      <c r="H74" s="184"/>
      <c r="I74" s="185">
        <f>F74-D74</f>
        <v>0.01</v>
      </c>
      <c r="J74" s="185"/>
      <c r="K74" s="185">
        <v>-0.27</v>
      </c>
      <c r="L74" s="185">
        <f>F74-K74</f>
        <v>0.28</v>
      </c>
      <c r="M74" s="212">
        <f>F74/K74</f>
        <v>-0.037037037037037035</v>
      </c>
      <c r="N74" s="183">
        <f>N73</f>
        <v>0</v>
      </c>
      <c r="O74" s="186">
        <f>SUM(O72:O73)</f>
        <v>0</v>
      </c>
      <c r="P74" s="185">
        <f>O74-N74</f>
        <v>0</v>
      </c>
      <c r="Q74" s="185"/>
      <c r="R74" s="38"/>
      <c r="S74" s="97"/>
    </row>
    <row r="75" spans="2:19" ht="46.5" hidden="1">
      <c r="B75" s="23" t="s">
        <v>37</v>
      </c>
      <c r="C75" s="73">
        <v>21110000</v>
      </c>
      <c r="D75" s="178">
        <v>0</v>
      </c>
      <c r="E75" s="178"/>
      <c r="F75" s="179">
        <v>0</v>
      </c>
      <c r="G75" s="160" t="e">
        <f>#N/A</f>
        <v>#N/A</v>
      </c>
      <c r="H75" s="162" t="e">
        <f>F75/E75*100</f>
        <v>#DIV/0!</v>
      </c>
      <c r="I75" s="165" t="e">
        <f>#N/A</f>
        <v>#N/A</v>
      </c>
      <c r="J75" s="165" t="e">
        <f>#N/A</f>
        <v>#N/A</v>
      </c>
      <c r="K75" s="165"/>
      <c r="L75" s="165"/>
      <c r="M75" s="165"/>
      <c r="N75" s="160">
        <v>0</v>
      </c>
      <c r="O75" s="180">
        <f>F75</f>
        <v>0</v>
      </c>
      <c r="P75" s="165" t="e">
        <f>#N/A</f>
        <v>#N/A</v>
      </c>
      <c r="Q75" s="165"/>
      <c r="R75" s="37"/>
      <c r="S75" s="96"/>
    </row>
    <row r="76" spans="2:19" ht="31.5">
      <c r="B76" s="23" t="s">
        <v>29</v>
      </c>
      <c r="C76" s="72">
        <v>31030000</v>
      </c>
      <c r="D76" s="178">
        <f>4000+100206.03</f>
        <v>104206.03</v>
      </c>
      <c r="E76" s="178">
        <v>0</v>
      </c>
      <c r="F76" s="179">
        <v>0.11</v>
      </c>
      <c r="G76" s="160">
        <f aca="true" t="shared" si="18" ref="G76:G87">F76-E76</f>
        <v>0.11</v>
      </c>
      <c r="H76" s="162"/>
      <c r="I76" s="165">
        <f aca="true" t="shared" si="19" ref="I76:I87">F76-D76</f>
        <v>-104205.92</v>
      </c>
      <c r="J76" s="165">
        <f>F76/D76*100</f>
        <v>0.00010556011010111412</v>
      </c>
      <c r="K76" s="165">
        <v>0.15</v>
      </c>
      <c r="L76" s="165">
        <f aca="true" t="shared" si="20" ref="L76:L87">F76-K76</f>
        <v>-0.039999999999999994</v>
      </c>
      <c r="M76" s="207">
        <f>F76/K76</f>
        <v>0.7333333333333334</v>
      </c>
      <c r="N76" s="162">
        <f>E76-лютий!E73</f>
        <v>0</v>
      </c>
      <c r="O76" s="166">
        <f>F76-лютий!F73</f>
        <v>0.039999999999999994</v>
      </c>
      <c r="P76" s="165">
        <f aca="true" t="shared" si="21" ref="P76:P89">O76-N76</f>
        <v>0.039999999999999994</v>
      </c>
      <c r="Q76" s="165" t="e">
        <f>O76/N76*100</f>
        <v>#DIV/0!</v>
      </c>
      <c r="R76" s="37"/>
      <c r="S76" s="96"/>
    </row>
    <row r="77" spans="2:19" ht="18">
      <c r="B77" s="23" t="s">
        <v>30</v>
      </c>
      <c r="C77" s="72">
        <v>33010000</v>
      </c>
      <c r="D77" s="178">
        <f>8000+46000</f>
        <v>54000</v>
      </c>
      <c r="E77" s="178">
        <v>4830</v>
      </c>
      <c r="F77" s="179">
        <v>167.2</v>
      </c>
      <c r="G77" s="160">
        <f t="shared" si="18"/>
        <v>-4662.8</v>
      </c>
      <c r="H77" s="162">
        <f>F77/E77*100</f>
        <v>3.461697722567288</v>
      </c>
      <c r="I77" s="165">
        <f t="shared" si="19"/>
        <v>-53832.8</v>
      </c>
      <c r="J77" s="165">
        <f>F77/D77*100</f>
        <v>0.30962962962962964</v>
      </c>
      <c r="K77" s="165">
        <v>318.64</v>
      </c>
      <c r="L77" s="165">
        <f t="shared" si="20"/>
        <v>-151.44</v>
      </c>
      <c r="M77" s="207">
        <f>F77/K77</f>
        <v>0.5247301029374843</v>
      </c>
      <c r="N77" s="162">
        <f>E77-лютий!E74</f>
        <v>3600</v>
      </c>
      <c r="O77" s="166">
        <f>F77-лютий!F74</f>
        <v>118.85999999999999</v>
      </c>
      <c r="P77" s="165">
        <f t="shared" si="21"/>
        <v>-3481.14</v>
      </c>
      <c r="Q77" s="165">
        <f>O77/N77*100</f>
        <v>3.301666666666666</v>
      </c>
      <c r="R77" s="37"/>
      <c r="S77" s="96"/>
    </row>
    <row r="78" spans="2:19" ht="31.5">
      <c r="B78" s="23" t="s">
        <v>54</v>
      </c>
      <c r="C78" s="72">
        <v>24170000</v>
      </c>
      <c r="D78" s="178">
        <f>10000+69000</f>
        <v>79000</v>
      </c>
      <c r="E78" s="178">
        <v>4650</v>
      </c>
      <c r="F78" s="179">
        <v>1214.24</v>
      </c>
      <c r="G78" s="160">
        <f t="shared" si="18"/>
        <v>-3435.76</v>
      </c>
      <c r="H78" s="162">
        <f>F78/E78*100</f>
        <v>26.112688172043008</v>
      </c>
      <c r="I78" s="165">
        <f t="shared" si="19"/>
        <v>-77785.76</v>
      </c>
      <c r="J78" s="165">
        <f>F78/D78*100</f>
        <v>1.5370126582278483</v>
      </c>
      <c r="K78" s="165">
        <v>7957.09</v>
      </c>
      <c r="L78" s="165">
        <f t="shared" si="20"/>
        <v>-6742.85</v>
      </c>
      <c r="M78" s="207">
        <f>F78/K78</f>
        <v>0.15259850020547713</v>
      </c>
      <c r="N78" s="162">
        <f>E78-лютий!E75</f>
        <v>3850</v>
      </c>
      <c r="O78" s="166">
        <f>F78-лютий!F75</f>
        <v>111.65000000000009</v>
      </c>
      <c r="P78" s="165">
        <f t="shared" si="21"/>
        <v>-3738.35</v>
      </c>
      <c r="Q78" s="165">
        <f>O78/N78*100</f>
        <v>2.900000000000002</v>
      </c>
      <c r="R78" s="37"/>
      <c r="S78" s="96"/>
    </row>
    <row r="79" spans="2:19" ht="18">
      <c r="B79" s="23" t="s">
        <v>101</v>
      </c>
      <c r="C79" s="72">
        <v>24110700</v>
      </c>
      <c r="D79" s="178">
        <v>12</v>
      </c>
      <c r="E79" s="178">
        <v>3</v>
      </c>
      <c r="F79" s="179">
        <v>3</v>
      </c>
      <c r="G79" s="160">
        <f t="shared" si="18"/>
        <v>0</v>
      </c>
      <c r="H79" s="162">
        <f>F79/E79*100</f>
        <v>100</v>
      </c>
      <c r="I79" s="165">
        <f t="shared" si="19"/>
        <v>-9</v>
      </c>
      <c r="J79" s="165">
        <f>F79/D79*100</f>
        <v>25</v>
      </c>
      <c r="K79" s="165">
        <v>3</v>
      </c>
      <c r="L79" s="165">
        <f t="shared" si="20"/>
        <v>0</v>
      </c>
      <c r="M79" s="207"/>
      <c r="N79" s="162">
        <f>E79-лютий!E76</f>
        <v>1</v>
      </c>
      <c r="O79" s="166">
        <f>F79-лютий!F76</f>
        <v>1</v>
      </c>
      <c r="P79" s="165">
        <f t="shared" si="21"/>
        <v>0</v>
      </c>
      <c r="Q79" s="165">
        <f>O79/N79*100</f>
        <v>100</v>
      </c>
      <c r="R79" s="37"/>
      <c r="S79" s="134"/>
    </row>
    <row r="80" spans="2:19" ht="33">
      <c r="B80" s="27" t="s">
        <v>51</v>
      </c>
      <c r="C80" s="64"/>
      <c r="D80" s="181">
        <f>D76+D77+D78+D79</f>
        <v>237218.03</v>
      </c>
      <c r="E80" s="181">
        <f>E76+E77+E78+E79</f>
        <v>9483</v>
      </c>
      <c r="F80" s="182">
        <f>F76+F77+F78+F79</f>
        <v>1384.55</v>
      </c>
      <c r="G80" s="183">
        <f t="shared" si="18"/>
        <v>-8098.45</v>
      </c>
      <c r="H80" s="184">
        <f>F80/E80*100</f>
        <v>14.60033744595592</v>
      </c>
      <c r="I80" s="185">
        <f t="shared" si="19"/>
        <v>-235833.48</v>
      </c>
      <c r="J80" s="185">
        <f>F80/D80*100</f>
        <v>0.5836613684044167</v>
      </c>
      <c r="K80" s="185">
        <v>8278.87</v>
      </c>
      <c r="L80" s="185">
        <f t="shared" si="20"/>
        <v>-6894.320000000001</v>
      </c>
      <c r="M80" s="212">
        <f>F80/K80</f>
        <v>0.1672390072558211</v>
      </c>
      <c r="N80" s="183">
        <f>N76+N77+N78+N79</f>
        <v>7451</v>
      </c>
      <c r="O80" s="187">
        <f>O76+O77+O78+O79</f>
        <v>231.55000000000007</v>
      </c>
      <c r="P80" s="185">
        <f t="shared" si="21"/>
        <v>-7219.45</v>
      </c>
      <c r="Q80" s="185">
        <f>O80/N80*100</f>
        <v>3.107636558851162</v>
      </c>
      <c r="R80" s="38"/>
      <c r="S80" s="115"/>
    </row>
    <row r="81" spans="2:19" ht="46.5">
      <c r="B81" s="12" t="s">
        <v>40</v>
      </c>
      <c r="C81" s="74">
        <v>24062100</v>
      </c>
      <c r="D81" s="178">
        <v>40</v>
      </c>
      <c r="E81" s="178">
        <v>0.5</v>
      </c>
      <c r="F81" s="179">
        <v>8.78</v>
      </c>
      <c r="G81" s="160">
        <f t="shared" si="18"/>
        <v>8.28</v>
      </c>
      <c r="H81" s="162"/>
      <c r="I81" s="165">
        <f t="shared" si="19"/>
        <v>-31.22</v>
      </c>
      <c r="J81" s="165"/>
      <c r="K81" s="165">
        <v>0.44</v>
      </c>
      <c r="L81" s="165">
        <f t="shared" si="20"/>
        <v>8.34</v>
      </c>
      <c r="M81" s="207">
        <f>F81/K81</f>
        <v>19.954545454545453</v>
      </c>
      <c r="N81" s="162">
        <f>E81-лютий!E78</f>
        <v>0.5</v>
      </c>
      <c r="O81" s="166">
        <f>F81-лютий!F78</f>
        <v>0</v>
      </c>
      <c r="P81" s="165">
        <f t="shared" si="21"/>
        <v>-0.5</v>
      </c>
      <c r="Q81" s="165"/>
      <c r="R81" s="37"/>
      <c r="S81" s="96"/>
    </row>
    <row r="82" spans="2:19" ht="18" hidden="1">
      <c r="B82" s="233" t="s">
        <v>52</v>
      </c>
      <c r="C82" s="72">
        <v>24061600</v>
      </c>
      <c r="D82" s="178">
        <v>0</v>
      </c>
      <c r="E82" s="178">
        <v>0</v>
      </c>
      <c r="F82" s="179">
        <v>0</v>
      </c>
      <c r="G82" s="160">
        <f t="shared" si="18"/>
        <v>0</v>
      </c>
      <c r="H82" s="162"/>
      <c r="I82" s="165">
        <f t="shared" si="19"/>
        <v>0</v>
      </c>
      <c r="J82" s="188"/>
      <c r="K82" s="165">
        <v>0</v>
      </c>
      <c r="L82" s="165">
        <f t="shared" si="20"/>
        <v>0</v>
      </c>
      <c r="M82" s="207" t="e">
        <f>F82/K82</f>
        <v>#DIV/0!</v>
      </c>
      <c r="N82" s="162">
        <f>E82-лютий!E79</f>
        <v>0</v>
      </c>
      <c r="O82" s="166">
        <f>F82-лютий!F79</f>
        <v>0</v>
      </c>
      <c r="P82" s="165">
        <f t="shared" si="21"/>
        <v>0</v>
      </c>
      <c r="Q82" s="188"/>
      <c r="R82" s="40"/>
      <c r="S82" s="98"/>
    </row>
    <row r="83" spans="2:21" ht="18">
      <c r="B83" s="23" t="s">
        <v>46</v>
      </c>
      <c r="C83" s="72">
        <v>19010000</v>
      </c>
      <c r="D83" s="178">
        <v>8360</v>
      </c>
      <c r="E83" s="178">
        <v>2356.3</v>
      </c>
      <c r="F83" s="179">
        <v>2217.95</v>
      </c>
      <c r="G83" s="160">
        <f t="shared" si="18"/>
        <v>-138.35000000000036</v>
      </c>
      <c r="H83" s="162">
        <f>F83/E83*100</f>
        <v>94.12850655689002</v>
      </c>
      <c r="I83" s="165">
        <f t="shared" si="19"/>
        <v>-6142.05</v>
      </c>
      <c r="J83" s="165">
        <f>F83/D83*100</f>
        <v>26.530502392344495</v>
      </c>
      <c r="K83" s="165">
        <v>2019</v>
      </c>
      <c r="L83" s="165">
        <f t="shared" si="20"/>
        <v>198.94999999999982</v>
      </c>
      <c r="M83" s="207"/>
      <c r="N83" s="162">
        <f>E83-лютий!E80</f>
        <v>6.300000000000182</v>
      </c>
      <c r="O83" s="166">
        <f>F83-лютий!F80</f>
        <v>0.7199999999997999</v>
      </c>
      <c r="P83" s="165">
        <f>O83-N83</f>
        <v>-5.580000000000382</v>
      </c>
      <c r="Q83" s="188">
        <f>O83/N83*100</f>
        <v>11.428571428567922</v>
      </c>
      <c r="R83" s="40"/>
      <c r="S83" s="98"/>
      <c r="T83" s="28">
        <v>3.8</v>
      </c>
      <c r="U83" s="248">
        <f>O83-T83</f>
        <v>-3.0800000000002</v>
      </c>
    </row>
    <row r="84" spans="2:19" ht="31.5">
      <c r="B84" s="23" t="s">
        <v>50</v>
      </c>
      <c r="C84" s="72">
        <v>19050000</v>
      </c>
      <c r="D84" s="178">
        <v>0</v>
      </c>
      <c r="E84" s="178"/>
      <c r="F84" s="179">
        <v>0.03</v>
      </c>
      <c r="G84" s="160">
        <f t="shared" si="18"/>
        <v>0.03</v>
      </c>
      <c r="H84" s="162"/>
      <c r="I84" s="165">
        <f t="shared" si="19"/>
        <v>0.03</v>
      </c>
      <c r="J84" s="165"/>
      <c r="K84" s="165">
        <v>0.4</v>
      </c>
      <c r="L84" s="165">
        <f t="shared" si="20"/>
        <v>-0.37</v>
      </c>
      <c r="M84" s="207">
        <f aca="true" t="shared" si="22" ref="M84:M89">F84/K84</f>
        <v>0.075</v>
      </c>
      <c r="N84" s="162">
        <f>E84-лютий!E81</f>
        <v>0</v>
      </c>
      <c r="O84" s="166">
        <f>F84-лютий!F81</f>
        <v>0</v>
      </c>
      <c r="P84" s="165">
        <f t="shared" si="21"/>
        <v>0</v>
      </c>
      <c r="Q84" s="165"/>
      <c r="R84" s="37"/>
      <c r="S84" s="96"/>
    </row>
    <row r="85" spans="2:19" ht="30">
      <c r="B85" s="27" t="s">
        <v>47</v>
      </c>
      <c r="C85" s="72"/>
      <c r="D85" s="181">
        <f>D81+D84+D82+D83</f>
        <v>8400</v>
      </c>
      <c r="E85" s="181">
        <f>E81+E84+E82+E83</f>
        <v>2356.8</v>
      </c>
      <c r="F85" s="182">
        <f>F81+F84+F82+F83</f>
        <v>2226.7599999999998</v>
      </c>
      <c r="G85" s="181">
        <f>G81+G84+G82+G83</f>
        <v>-130.04000000000036</v>
      </c>
      <c r="H85" s="184">
        <f>F85/E85*100</f>
        <v>94.48234894772571</v>
      </c>
      <c r="I85" s="185">
        <f t="shared" si="19"/>
        <v>-6173.24</v>
      </c>
      <c r="J85" s="185">
        <f>F85/D85*100</f>
        <v>26.509047619047614</v>
      </c>
      <c r="K85" s="185">
        <v>2019.85</v>
      </c>
      <c r="L85" s="185">
        <f t="shared" si="20"/>
        <v>206.90999999999985</v>
      </c>
      <c r="M85" s="218">
        <f t="shared" si="22"/>
        <v>1.102438299873753</v>
      </c>
      <c r="N85" s="183">
        <f>N81+N84+N82+N83</f>
        <v>6.800000000000182</v>
      </c>
      <c r="O85" s="187">
        <f>O81+O84+O82+O83</f>
        <v>0.7199999999997999</v>
      </c>
      <c r="P85" s="183">
        <f>P81+P84+P82+P83</f>
        <v>-6.080000000000382</v>
      </c>
      <c r="Q85" s="185">
        <f>O85/N85*100</f>
        <v>10.58823529411442</v>
      </c>
      <c r="R85" s="38"/>
      <c r="S85" s="95"/>
    </row>
    <row r="86" spans="2:19" ht="30.75">
      <c r="B86" s="12" t="s">
        <v>41</v>
      </c>
      <c r="C86" s="42">
        <v>24110900</v>
      </c>
      <c r="D86" s="178">
        <v>38</v>
      </c>
      <c r="E86" s="178">
        <v>12.9</v>
      </c>
      <c r="F86" s="179">
        <v>7.12</v>
      </c>
      <c r="G86" s="160">
        <f t="shared" si="18"/>
        <v>-5.78</v>
      </c>
      <c r="H86" s="162">
        <f>F86/E86*100</f>
        <v>55.19379844961241</v>
      </c>
      <c r="I86" s="165">
        <f t="shared" si="19"/>
        <v>-30.88</v>
      </c>
      <c r="J86" s="165">
        <f>F86/D86*100</f>
        <v>18.736842105263158</v>
      </c>
      <c r="K86" s="165">
        <v>9.19</v>
      </c>
      <c r="L86" s="165">
        <f t="shared" si="20"/>
        <v>-2.0699999999999994</v>
      </c>
      <c r="M86" s="207">
        <f t="shared" si="22"/>
        <v>0.7747551686615888</v>
      </c>
      <c r="N86" s="162">
        <f>E86-лютий!E83</f>
        <v>8</v>
      </c>
      <c r="O86" s="166">
        <f>F86-лютий!F83</f>
        <v>6.16</v>
      </c>
      <c r="P86" s="165">
        <f t="shared" si="21"/>
        <v>-1.8399999999999999</v>
      </c>
      <c r="Q86" s="165">
        <f>O86/N86</f>
        <v>0.77</v>
      </c>
      <c r="R86" s="37"/>
      <c r="S86" s="96"/>
    </row>
    <row r="87" spans="2:19" ht="18">
      <c r="B87" s="121" t="s">
        <v>130</v>
      </c>
      <c r="C87" s="42">
        <v>21110000</v>
      </c>
      <c r="D87" s="178">
        <v>0</v>
      </c>
      <c r="E87" s="178">
        <v>0</v>
      </c>
      <c r="F87" s="179">
        <v>35.57</v>
      </c>
      <c r="G87" s="160">
        <f t="shared" si="18"/>
        <v>35.57</v>
      </c>
      <c r="H87" s="162"/>
      <c r="I87" s="165">
        <f t="shared" si="19"/>
        <v>35.57</v>
      </c>
      <c r="J87" s="165"/>
      <c r="K87" s="165">
        <v>0</v>
      </c>
      <c r="L87" s="165">
        <f t="shared" si="20"/>
        <v>35.57</v>
      </c>
      <c r="M87" s="165"/>
      <c r="N87" s="162">
        <f>E87-лютий!E84</f>
        <v>0</v>
      </c>
      <c r="O87" s="166">
        <f>F87-лютий!F84</f>
        <v>8.91</v>
      </c>
      <c r="P87" s="165">
        <f t="shared" si="21"/>
        <v>8.91</v>
      </c>
      <c r="Q87" s="165"/>
      <c r="R87" s="37"/>
      <c r="S87" s="96"/>
    </row>
    <row r="88" spans="2:19" ht="23.25" customHeight="1">
      <c r="B88" s="14" t="s">
        <v>31</v>
      </c>
      <c r="C88" s="65"/>
      <c r="D88" s="189">
        <f>D74+D86+D80+D85</f>
        <v>245656.03</v>
      </c>
      <c r="E88" s="189">
        <f>E74+E86+E80+E85+E87</f>
        <v>11852.7</v>
      </c>
      <c r="F88" s="189">
        <f>F74+F86+F80+F85+F87</f>
        <v>3654.0099999999998</v>
      </c>
      <c r="G88" s="190">
        <f>F88-E88</f>
        <v>-8198.69</v>
      </c>
      <c r="H88" s="191">
        <f>F88/E88*100</f>
        <v>30.82850321023901</v>
      </c>
      <c r="I88" s="192">
        <f>F88-D88</f>
        <v>-242002.02</v>
      </c>
      <c r="J88" s="192">
        <f>F88/D88*100</f>
        <v>1.4874497483330655</v>
      </c>
      <c r="K88" s="192">
        <v>10307.64</v>
      </c>
      <c r="L88" s="192">
        <f>F88-K88</f>
        <v>-6653.629999999999</v>
      </c>
      <c r="M88" s="219">
        <f t="shared" si="22"/>
        <v>0.35449530639409216</v>
      </c>
      <c r="N88" s="189">
        <f>N74+N86+N80+N85+N87</f>
        <v>7465.8</v>
      </c>
      <c r="O88" s="189">
        <f>O74+O86+O80+O85+O87</f>
        <v>247.33999999999986</v>
      </c>
      <c r="P88" s="192">
        <f t="shared" si="21"/>
        <v>-7218.46</v>
      </c>
      <c r="Q88" s="192">
        <f>O88/N88*100</f>
        <v>3.3129738273192406</v>
      </c>
      <c r="R88" s="26">
        <f>O88-8104.96</f>
        <v>-7857.62</v>
      </c>
      <c r="S88" s="94">
        <f>O88/8104.96</f>
        <v>0.0305171154453569</v>
      </c>
    </row>
    <row r="89" spans="2:19" ht="17.25">
      <c r="B89" s="21" t="s">
        <v>171</v>
      </c>
      <c r="C89" s="65"/>
      <c r="D89" s="189">
        <f>D67+D88</f>
        <v>1603147.1300000001</v>
      </c>
      <c r="E89" s="189">
        <f>E67+E88</f>
        <v>318709.60000000003</v>
      </c>
      <c r="F89" s="189">
        <f>F67+F88</f>
        <v>311083.00999999995</v>
      </c>
      <c r="G89" s="190">
        <f>F89-E89</f>
        <v>-7626.590000000084</v>
      </c>
      <c r="H89" s="191">
        <f>F89/E89*100</f>
        <v>97.60704101790468</v>
      </c>
      <c r="I89" s="192">
        <f>F89-D89</f>
        <v>-1292064.12</v>
      </c>
      <c r="J89" s="192">
        <f>F89/D89*100</f>
        <v>19.404520282551978</v>
      </c>
      <c r="K89" s="192">
        <f>K67+K88</f>
        <v>230773.41999999998</v>
      </c>
      <c r="L89" s="192">
        <f>F89-K89</f>
        <v>80309.58999999997</v>
      </c>
      <c r="M89" s="219">
        <f t="shared" si="22"/>
        <v>1.348001905938734</v>
      </c>
      <c r="N89" s="190">
        <f>N67+N88</f>
        <v>110300.6</v>
      </c>
      <c r="O89" s="190">
        <f>O67+O88</f>
        <v>104149.96999999997</v>
      </c>
      <c r="P89" s="192">
        <f t="shared" si="21"/>
        <v>-6150.630000000034</v>
      </c>
      <c r="Q89" s="192">
        <f>O89/N89*100</f>
        <v>94.42375653441593</v>
      </c>
      <c r="R89" s="26">
        <f>O89-42872.96</f>
        <v>61277.00999999997</v>
      </c>
      <c r="S89" s="94">
        <f>O89/42872.96</f>
        <v>2.4292694043051837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5">
        <v>0</v>
      </c>
      <c r="D91" s="4" t="s">
        <v>35</v>
      </c>
      <c r="O91" s="77"/>
    </row>
    <row r="92" spans="2:18" ht="30.75">
      <c r="B92" s="51" t="s">
        <v>53</v>
      </c>
      <c r="C92" s="28">
        <f>IF(P67&lt;0,ABS(P67/C91),0)</f>
        <v>0</v>
      </c>
      <c r="D92" s="4" t="s">
        <v>24</v>
      </c>
      <c r="G92" s="307"/>
      <c r="H92" s="307"/>
      <c r="I92" s="307"/>
      <c r="J92" s="307"/>
      <c r="K92" s="83"/>
      <c r="L92" s="83"/>
      <c r="M92" s="83"/>
      <c r="Q92" s="25"/>
      <c r="R92" s="25"/>
    </row>
    <row r="93" spans="2:16" ht="34.5" customHeight="1">
      <c r="B93" s="52" t="s">
        <v>55</v>
      </c>
      <c r="C93" s="80">
        <v>42825</v>
      </c>
      <c r="D93" s="28">
        <v>4482.8</v>
      </c>
      <c r="G93" s="4" t="s">
        <v>58</v>
      </c>
      <c r="O93" s="308"/>
      <c r="P93" s="308"/>
    </row>
    <row r="94" spans="3:16" ht="15">
      <c r="C94" s="80">
        <v>42824</v>
      </c>
      <c r="D94" s="28">
        <v>11112.7</v>
      </c>
      <c r="F94" s="112" t="s">
        <v>58</v>
      </c>
      <c r="G94" s="311"/>
      <c r="H94" s="311"/>
      <c r="I94" s="117"/>
      <c r="J94" s="312"/>
      <c r="K94" s="312"/>
      <c r="L94" s="312"/>
      <c r="M94" s="312"/>
      <c r="N94" s="312"/>
      <c r="O94" s="308"/>
      <c r="P94" s="308"/>
    </row>
    <row r="95" spans="3:16" ht="15.75" customHeight="1">
      <c r="C95" s="80">
        <v>42823</v>
      </c>
      <c r="D95" s="28">
        <v>8830.3</v>
      </c>
      <c r="F95" s="67"/>
      <c r="G95" s="311"/>
      <c r="H95" s="311"/>
      <c r="I95" s="117"/>
      <c r="J95" s="313"/>
      <c r="K95" s="313"/>
      <c r="L95" s="313"/>
      <c r="M95" s="313"/>
      <c r="N95" s="313"/>
      <c r="O95" s="308"/>
      <c r="P95" s="308"/>
    </row>
    <row r="96" spans="3:14" ht="15.75" customHeight="1">
      <c r="C96" s="80"/>
      <c r="F96" s="67"/>
      <c r="G96" s="320"/>
      <c r="H96" s="320"/>
      <c r="I96" s="123"/>
      <c r="J96" s="312"/>
      <c r="K96" s="312"/>
      <c r="L96" s="312"/>
      <c r="M96" s="312"/>
      <c r="N96" s="312"/>
    </row>
    <row r="97" spans="2:14" ht="18" customHeight="1">
      <c r="B97" s="321" t="s">
        <v>56</v>
      </c>
      <c r="C97" s="322"/>
      <c r="D97" s="132">
        <v>1399.2856000000002</v>
      </c>
      <c r="E97" s="68"/>
      <c r="F97" s="124" t="s">
        <v>105</v>
      </c>
      <c r="G97" s="311"/>
      <c r="H97" s="311"/>
      <c r="I97" s="125"/>
      <c r="J97" s="312"/>
      <c r="K97" s="312"/>
      <c r="L97" s="312"/>
      <c r="M97" s="312"/>
      <c r="N97" s="312"/>
    </row>
    <row r="98" spans="6:13" ht="9.75" customHeight="1">
      <c r="F98" s="67"/>
      <c r="G98" s="311"/>
      <c r="H98" s="311"/>
      <c r="I98" s="67"/>
      <c r="J98" s="68"/>
      <c r="K98" s="68"/>
      <c r="L98" s="68"/>
      <c r="M98" s="68"/>
    </row>
    <row r="99" spans="2:13" ht="22.5" customHeight="1" hidden="1">
      <c r="B99" s="317" t="s">
        <v>59</v>
      </c>
      <c r="C99" s="318"/>
      <c r="D99" s="79">
        <v>0</v>
      </c>
      <c r="E99" s="50" t="s">
        <v>24</v>
      </c>
      <c r="F99" s="67"/>
      <c r="G99" s="311"/>
      <c r="H99" s="311"/>
      <c r="I99" s="67"/>
      <c r="J99" s="68"/>
      <c r="K99" s="68"/>
      <c r="L99" s="68"/>
      <c r="M99" s="68"/>
    </row>
    <row r="100" spans="4:16" ht="15" hidden="1">
      <c r="D100" s="67">
        <f>D48+D51+D52</f>
        <v>1060</v>
      </c>
      <c r="E100" s="67">
        <f>E48+E51+E52</f>
        <v>358</v>
      </c>
      <c r="F100" s="201">
        <f>F48+F51+F52</f>
        <v>440.15</v>
      </c>
      <c r="G100" s="67">
        <f>G48+G51+G52</f>
        <v>82.14999999999998</v>
      </c>
      <c r="H100" s="68"/>
      <c r="I100" s="68"/>
      <c r="N100" s="28">
        <f>N48+N51+N52</f>
        <v>186</v>
      </c>
      <c r="O100" s="200">
        <f>O48+O51+O52</f>
        <v>157.32</v>
      </c>
      <c r="P100" s="28">
        <f>P48+P51+P52</f>
        <v>-28.680000000000007</v>
      </c>
    </row>
    <row r="101" spans="4:16" ht="15" hidden="1">
      <c r="D101" s="77"/>
      <c r="I101" s="28"/>
      <c r="O101" s="319"/>
      <c r="P101" s="319"/>
    </row>
    <row r="102" spans="2:17" ht="15" hidden="1">
      <c r="B102" s="4" t="s">
        <v>116</v>
      </c>
      <c r="D102" s="28">
        <f>D9+D15+D18+D19+D23+D42+D45+D65+D59</f>
        <v>1299048.6</v>
      </c>
      <c r="E102" s="28">
        <f>E9+E15+E18+E19+E23+E42+E45+E65+E59</f>
        <v>292625.7</v>
      </c>
      <c r="F102" s="227">
        <f>F9+F15+F18+F19+F23+F42+F45+F65+F59</f>
        <v>293377.33999999997</v>
      </c>
      <c r="G102" s="28">
        <f>F102-E102</f>
        <v>751.6399999999558</v>
      </c>
      <c r="H102" s="228">
        <f>F102/E102</f>
        <v>1.0025686055599352</v>
      </c>
      <c r="I102" s="28">
        <f>F102-D102</f>
        <v>-1005671.2600000001</v>
      </c>
      <c r="J102" s="228">
        <f>F102/D102</f>
        <v>0.22584015717348832</v>
      </c>
      <c r="N102" s="28">
        <f>N9+N15+N17+N18+N19+N23+N42+N45+N65+N59</f>
        <v>96295.2</v>
      </c>
      <c r="O102" s="227">
        <f>O9+O15+O17+O18+O19+O23+O42+O45+O65+O59</f>
        <v>98524.38999999997</v>
      </c>
      <c r="P102" s="28">
        <f>O102-N102</f>
        <v>2229.189999999973</v>
      </c>
      <c r="Q102" s="228">
        <f>O102/N102</f>
        <v>1.0231495443178888</v>
      </c>
    </row>
    <row r="103" spans="2:17" ht="15" hidden="1">
      <c r="B103" s="4" t="s">
        <v>117</v>
      </c>
      <c r="D103" s="28">
        <f>D43+D44+D46+D48+D50+D51+D52+D53+D54+D60+D64+D47+D66</f>
        <v>58442.5</v>
      </c>
      <c r="E103" s="28">
        <f>E43+E44+E46+E48+E50+E51+E52+E53+E54+E60+E64+E47+E66</f>
        <v>14231.2</v>
      </c>
      <c r="F103" s="227">
        <f>F43+F44+F46+F48+F50+F51+F52+F53+F54+F60+F64+F47+F66</f>
        <v>14051.66</v>
      </c>
      <c r="G103" s="28">
        <f>G43+G44+G46+G48+G50+G51+G52+G53+G54+G60+G64+G47</f>
        <v>-174.20999999999987</v>
      </c>
      <c r="H103" s="228">
        <f>F103/E103</f>
        <v>0.9873840575636629</v>
      </c>
      <c r="I103" s="28">
        <f>I43+I44+I46+I48+I50+I51+I52+I53+I54+I60+I64+I47</f>
        <v>-44385.51</v>
      </c>
      <c r="J103" s="228">
        <f>F103/D103</f>
        <v>0.24043564187021432</v>
      </c>
      <c r="K103" s="28">
        <f aca="true" t="shared" si="23" ref="K103:P103">K43+K44+K46+K48+K50+K51+K52+K53+K54+K60+K64+K47</f>
        <v>10575.08</v>
      </c>
      <c r="L103" s="28">
        <f t="shared" si="23"/>
        <v>3481.9100000000008</v>
      </c>
      <c r="M103" s="28">
        <f t="shared" si="23"/>
        <v>22.550344409698525</v>
      </c>
      <c r="N103" s="28">
        <f>N43+N44+N46+N48+N50+N51+N52+N53+N54+N60+N64+N47+N66</f>
        <v>6539.6</v>
      </c>
      <c r="O103" s="227">
        <f>O43+O44+O46+O48+O50+O51+O52+O53+O54+O60+O64+O47+O66</f>
        <v>5378.24</v>
      </c>
      <c r="P103" s="28">
        <f t="shared" si="23"/>
        <v>-1161.3599999999994</v>
      </c>
      <c r="Q103" s="228">
        <f>O103/N103</f>
        <v>0.8224111566456663</v>
      </c>
    </row>
    <row r="104" spans="2:17" ht="15" hidden="1">
      <c r="B104" s="4" t="s">
        <v>118</v>
      </c>
      <c r="D104" s="28">
        <f>SUM(D102:D103)</f>
        <v>1357491.1</v>
      </c>
      <c r="E104" s="28">
        <f>SUM(E102:E103)</f>
        <v>306856.9</v>
      </c>
      <c r="F104" s="227">
        <f>SUM(F102:F103)</f>
        <v>307428.99999999994</v>
      </c>
      <c r="G104" s="28">
        <f aca="true" t="shared" si="24" ref="G104:P104">SUM(G102:G103)</f>
        <v>577.429999999956</v>
      </c>
      <c r="H104" s="228">
        <f>F104/E104</f>
        <v>1.0018643869503991</v>
      </c>
      <c r="I104" s="28">
        <f t="shared" si="24"/>
        <v>-1050056.77</v>
      </c>
      <c r="J104" s="228">
        <f>F104/D104</f>
        <v>0.22646851975677773</v>
      </c>
      <c r="K104" s="28">
        <f t="shared" si="24"/>
        <v>10575.08</v>
      </c>
      <c r="L104" s="28">
        <f t="shared" si="24"/>
        <v>3481.9100000000008</v>
      </c>
      <c r="M104" s="28">
        <f t="shared" si="24"/>
        <v>22.550344409698525</v>
      </c>
      <c r="N104" s="28">
        <f t="shared" si="24"/>
        <v>102834.8</v>
      </c>
      <c r="O104" s="227">
        <f t="shared" si="24"/>
        <v>103902.62999999998</v>
      </c>
      <c r="P104" s="28">
        <f t="shared" si="24"/>
        <v>1067.8299999999738</v>
      </c>
      <c r="Q104" s="228">
        <f>O104/N104</f>
        <v>1.010383936177247</v>
      </c>
    </row>
    <row r="105" spans="4:20" ht="15" hidden="1">
      <c r="D105" s="28">
        <f>D67-D104</f>
        <v>0</v>
      </c>
      <c r="E105" s="28">
        <f aca="true" t="shared" si="25" ref="E105:T105">E67-E104</f>
        <v>0</v>
      </c>
      <c r="F105" s="28">
        <f t="shared" si="25"/>
        <v>0</v>
      </c>
      <c r="G105" s="28">
        <f t="shared" si="25"/>
        <v>-5.330000000037444</v>
      </c>
      <c r="H105" s="228"/>
      <c r="I105" s="28">
        <f t="shared" si="25"/>
        <v>-5.330000000074506</v>
      </c>
      <c r="J105" s="228"/>
      <c r="K105" s="28">
        <f t="shared" si="25"/>
        <v>209890.7</v>
      </c>
      <c r="L105" s="28">
        <f t="shared" si="25"/>
        <v>83481.30999999994</v>
      </c>
      <c r="M105" s="28">
        <f t="shared" si="25"/>
        <v>-21.15589217316549</v>
      </c>
      <c r="N105" s="28">
        <f t="shared" si="25"/>
        <v>0</v>
      </c>
      <c r="O105" s="28">
        <f t="shared" si="25"/>
        <v>0</v>
      </c>
      <c r="P105" s="28">
        <f t="shared" si="25"/>
        <v>0</v>
      </c>
      <c r="Q105" s="28"/>
      <c r="R105" s="28">
        <f t="shared" si="25"/>
        <v>69134.62999999998</v>
      </c>
      <c r="S105" s="28">
        <f t="shared" si="25"/>
        <v>2.988455763920846</v>
      </c>
      <c r="T105" s="28">
        <f t="shared" si="25"/>
        <v>89561.4</v>
      </c>
    </row>
    <row r="106" ht="15" hidden="1">
      <c r="E106" s="4" t="s">
        <v>58</v>
      </c>
    </row>
    <row r="107" spans="2:5" ht="15" hidden="1">
      <c r="B107" s="242" t="s">
        <v>153</v>
      </c>
      <c r="E107" s="28">
        <f>E67-E9-E20-E29-E35</f>
        <v>19583.200000000026</v>
      </c>
    </row>
    <row r="108" spans="2:5" ht="15" hidden="1">
      <c r="B108" s="242" t="s">
        <v>154</v>
      </c>
      <c r="E108" s="28">
        <f>E88-E83-E76-E77</f>
        <v>4666.4000000000015</v>
      </c>
    </row>
    <row r="109" ht="15" hidden="1"/>
    <row r="110" spans="2:23" ht="18" hidden="1">
      <c r="B110" s="121" t="s">
        <v>145</v>
      </c>
      <c r="C110" s="42">
        <v>25000000</v>
      </c>
      <c r="D110" s="178">
        <v>72408.22</v>
      </c>
      <c r="E110" s="178">
        <v>18102.06</v>
      </c>
      <c r="F110" s="179">
        <v>20254.32</v>
      </c>
      <c r="G110" s="160">
        <f>F110-E110</f>
        <v>2152.2599999999984</v>
      </c>
      <c r="H110" s="162">
        <f>F110/E110*100</f>
        <v>111.88958604711286</v>
      </c>
      <c r="I110" s="165">
        <f>F110-D110</f>
        <v>-52153.9</v>
      </c>
      <c r="J110" s="165">
        <f>F110/D110*100</f>
        <v>27.972404238082362</v>
      </c>
      <c r="K110" s="165"/>
      <c r="L110" s="165"/>
      <c r="M110" s="266"/>
      <c r="N110" s="264"/>
      <c r="O110" s="264"/>
      <c r="P110" s="265"/>
      <c r="Q110" s="265"/>
      <c r="R110" s="268"/>
      <c r="S110" s="96"/>
      <c r="T110" s="145">
        <f>D110-E110</f>
        <v>54306.16</v>
      </c>
      <c r="U110" s="4"/>
      <c r="V110" s="4"/>
      <c r="W110" s="4"/>
    </row>
    <row r="111" spans="2:23" ht="23.25" customHeight="1" hidden="1">
      <c r="B111" s="14" t="s">
        <v>31</v>
      </c>
      <c r="C111" s="65"/>
      <c r="D111" s="189">
        <f>D88+D110</f>
        <v>318064.25</v>
      </c>
      <c r="E111" s="189">
        <f>E88+E110</f>
        <v>29954.760000000002</v>
      </c>
      <c r="F111" s="189">
        <f>F88+F110</f>
        <v>23908.329999999998</v>
      </c>
      <c r="G111" s="190">
        <f>F111-E111</f>
        <v>-6046.430000000004</v>
      </c>
      <c r="H111" s="191">
        <f>F111/E111*100</f>
        <v>79.8147940427498</v>
      </c>
      <c r="I111" s="192">
        <f>F111-D111</f>
        <v>-294155.92</v>
      </c>
      <c r="J111" s="192">
        <f>F111/D111*100</f>
        <v>7.516824037910578</v>
      </c>
      <c r="K111" s="192">
        <v>3039.87</v>
      </c>
      <c r="L111" s="192">
        <f>F111-K111</f>
        <v>20868.46</v>
      </c>
      <c r="M111" s="267">
        <f>F111/K111</f>
        <v>7.864918565596555</v>
      </c>
      <c r="N111" s="270"/>
      <c r="O111" s="270"/>
      <c r="P111" s="271"/>
      <c r="Q111" s="271"/>
      <c r="R111" s="269">
        <f>O111-8104.96</f>
        <v>-8104.96</v>
      </c>
      <c r="S111" s="94">
        <f>O111/8104.96</f>
        <v>0</v>
      </c>
      <c r="T111" s="145">
        <f>D111-E111</f>
        <v>288109.49</v>
      </c>
      <c r="U111" s="4"/>
      <c r="V111" s="4"/>
      <c r="W111" s="4"/>
    </row>
    <row r="112" spans="2:23" ht="17.25" hidden="1">
      <c r="B112" s="21" t="s">
        <v>170</v>
      </c>
      <c r="C112" s="65"/>
      <c r="D112" s="189">
        <f>D111+D67</f>
        <v>1675555.35</v>
      </c>
      <c r="E112" s="189">
        <f>E111+E67</f>
        <v>336811.66000000003</v>
      </c>
      <c r="F112" s="189">
        <f>F111+F67</f>
        <v>331337.32999999996</v>
      </c>
      <c r="G112" s="190">
        <f>F112-E112</f>
        <v>-5474.3300000000745</v>
      </c>
      <c r="H112" s="191">
        <f>F112/E112*100</f>
        <v>98.37466137603428</v>
      </c>
      <c r="I112" s="192">
        <f>F112-D112</f>
        <v>-1344218.02</v>
      </c>
      <c r="J112" s="192">
        <f>F112/D112*100</f>
        <v>19.774776762820753</v>
      </c>
      <c r="K112" s="192">
        <f>K89+K111</f>
        <v>233813.28999999998</v>
      </c>
      <c r="L112" s="192">
        <f>F112-K112</f>
        <v>97524.03999999998</v>
      </c>
      <c r="M112" s="267">
        <f>F112/K112</f>
        <v>1.4171022100582904</v>
      </c>
      <c r="N112" s="272"/>
      <c r="O112" s="272"/>
      <c r="P112" s="271"/>
      <c r="Q112" s="271"/>
      <c r="R112" s="269">
        <f>O112-42872.96</f>
        <v>-42872.96</v>
      </c>
      <c r="S112" s="94">
        <f>O112/42872.96</f>
        <v>0</v>
      </c>
      <c r="T112" s="145">
        <f>D112-E112</f>
        <v>1338743.69</v>
      </c>
      <c r="U112" s="4"/>
      <c r="V112" s="4"/>
      <c r="W112" s="4"/>
    </row>
    <row r="113" spans="2:23" ht="15" hidden="1">
      <c r="B113" s="238" t="s">
        <v>172</v>
      </c>
      <c r="C113" s="236">
        <v>40000000</v>
      </c>
      <c r="D113" s="241">
        <f aca="true" t="shared" si="26" ref="D113:F114">D114</f>
        <v>1222868.6900000002</v>
      </c>
      <c r="E113" s="241">
        <f t="shared" si="26"/>
        <v>550655.6</v>
      </c>
      <c r="F113" s="241">
        <f t="shared" si="26"/>
        <v>545829.08</v>
      </c>
      <c r="G113" s="241">
        <f aca="true" t="shared" si="27" ref="G113:G124">F113-E113</f>
        <v>-4826.520000000019</v>
      </c>
      <c r="H113" s="241">
        <f>F113/E113*100</f>
        <v>99.12349570221387</v>
      </c>
      <c r="I113" s="35">
        <f aca="true" t="shared" si="28" ref="I113:I124">F113-D113</f>
        <v>-677039.6100000002</v>
      </c>
      <c r="J113" s="35">
        <f>F113/D113*100</f>
        <v>44.63513412875097</v>
      </c>
      <c r="Q113" s="88"/>
      <c r="S113" s="4"/>
      <c r="T113" s="4"/>
      <c r="U113" s="4"/>
      <c r="V113" s="4"/>
      <c r="W113" s="4"/>
    </row>
    <row r="114" spans="2:23" ht="15" customHeight="1" hidden="1">
      <c r="B114" s="237" t="s">
        <v>142</v>
      </c>
      <c r="C114" s="236">
        <v>41000000</v>
      </c>
      <c r="D114" s="241">
        <f t="shared" si="26"/>
        <v>1222868.6900000002</v>
      </c>
      <c r="E114" s="241">
        <f t="shared" si="26"/>
        <v>550655.6</v>
      </c>
      <c r="F114" s="241">
        <f t="shared" si="26"/>
        <v>545829.08</v>
      </c>
      <c r="G114" s="241">
        <f t="shared" si="27"/>
        <v>-4826.520000000019</v>
      </c>
      <c r="H114" s="241">
        <f aca="true" t="shared" si="29" ref="H114:H124">IF(E114=0,0,F114/E114*100)</f>
        <v>99.12349570221387</v>
      </c>
      <c r="I114" s="35">
        <f t="shared" si="28"/>
        <v>-677039.6100000002</v>
      </c>
      <c r="J114" s="35">
        <f aca="true" t="shared" si="30" ref="J114:J124">F114/D114*100</f>
        <v>44.63513412875097</v>
      </c>
      <c r="Q114" s="88"/>
      <c r="S114" s="4"/>
      <c r="T114" s="4"/>
      <c r="U114" s="4"/>
      <c r="V114" s="4"/>
      <c r="W114" s="4"/>
    </row>
    <row r="115" spans="2:23" ht="15" hidden="1">
      <c r="B115" s="237" t="s">
        <v>143</v>
      </c>
      <c r="C115" s="236">
        <v>41030000</v>
      </c>
      <c r="D115" s="241">
        <f>SUM(D116:D123)</f>
        <v>1222868.6900000002</v>
      </c>
      <c r="E115" s="241">
        <f>SUM(E116:E123)</f>
        <v>550655.6</v>
      </c>
      <c r="F115" s="241">
        <f>SUM(F116:F123)</f>
        <v>545829.08</v>
      </c>
      <c r="G115" s="241">
        <f t="shared" si="27"/>
        <v>-4826.520000000019</v>
      </c>
      <c r="H115" s="241">
        <f t="shared" si="29"/>
        <v>99.12349570221387</v>
      </c>
      <c r="I115" s="35">
        <f t="shared" si="28"/>
        <v>-677039.6100000002</v>
      </c>
      <c r="J115" s="35">
        <f t="shared" si="30"/>
        <v>44.63513412875097</v>
      </c>
      <c r="Q115" s="88"/>
      <c r="S115" s="4"/>
      <c r="T115" s="4"/>
      <c r="U115" s="4"/>
      <c r="V115" s="4"/>
      <c r="W115" s="4"/>
    </row>
    <row r="116" spans="2:23" ht="63.75" hidden="1">
      <c r="B116" s="237" t="s">
        <v>166</v>
      </c>
      <c r="C116" s="236">
        <v>41030600</v>
      </c>
      <c r="D116" s="241">
        <v>311813.4</v>
      </c>
      <c r="E116" s="241">
        <v>74842.5</v>
      </c>
      <c r="F116" s="241">
        <v>71108.47</v>
      </c>
      <c r="G116" s="241">
        <f t="shared" si="27"/>
        <v>-3734.029999999999</v>
      </c>
      <c r="H116" s="241">
        <f t="shared" si="29"/>
        <v>95.0108160470321</v>
      </c>
      <c r="I116" s="35">
        <f t="shared" si="28"/>
        <v>-240704.93000000002</v>
      </c>
      <c r="J116" s="35">
        <f t="shared" si="30"/>
        <v>22.80481531582671</v>
      </c>
      <c r="Q116" s="88"/>
      <c r="S116" s="4"/>
      <c r="T116" s="4"/>
      <c r="U116" s="4"/>
      <c r="V116" s="4"/>
      <c r="W116" s="4"/>
    </row>
    <row r="117" spans="2:23" ht="63.75" hidden="1">
      <c r="B117" s="237" t="s">
        <v>147</v>
      </c>
      <c r="C117" s="236">
        <v>41030800</v>
      </c>
      <c r="D117" s="241">
        <v>408648.2</v>
      </c>
      <c r="E117" s="241">
        <v>354918.91</v>
      </c>
      <c r="F117" s="241">
        <v>354211.24</v>
      </c>
      <c r="G117" s="241">
        <f t="shared" si="27"/>
        <v>-707.6699999999837</v>
      </c>
      <c r="H117" s="241">
        <f t="shared" si="29"/>
        <v>99.80061079304002</v>
      </c>
      <c r="I117" s="35">
        <f t="shared" si="28"/>
        <v>-54436.96000000002</v>
      </c>
      <c r="J117" s="35">
        <f t="shared" si="30"/>
        <v>86.67877161822808</v>
      </c>
      <c r="Q117" s="88"/>
      <c r="S117" s="4"/>
      <c r="T117" s="4"/>
      <c r="U117" s="4"/>
      <c r="V117" s="4"/>
      <c r="W117" s="4"/>
    </row>
    <row r="118" spans="2:23" ht="51.75" hidden="1">
      <c r="B118" s="237" t="s">
        <v>167</v>
      </c>
      <c r="C118" s="236">
        <v>41031000</v>
      </c>
      <c r="D118" s="241">
        <v>227.7</v>
      </c>
      <c r="E118" s="241">
        <v>57</v>
      </c>
      <c r="F118" s="241">
        <v>40.84</v>
      </c>
      <c r="G118" s="241">
        <f t="shared" si="27"/>
        <v>-16.159999999999997</v>
      </c>
      <c r="H118" s="241">
        <f t="shared" si="29"/>
        <v>71.64912280701755</v>
      </c>
      <c r="I118" s="35">
        <f t="shared" si="28"/>
        <v>-186.85999999999999</v>
      </c>
      <c r="J118" s="35">
        <f t="shared" si="30"/>
        <v>17.9358805445762</v>
      </c>
      <c r="Q118" s="88"/>
      <c r="S118" s="4"/>
      <c r="T118" s="4"/>
      <c r="U118" s="4"/>
      <c r="V118" s="4"/>
      <c r="W118" s="4"/>
    </row>
    <row r="119" spans="2:23" ht="26.25" hidden="1">
      <c r="B119" s="237" t="s">
        <v>148</v>
      </c>
      <c r="C119" s="236">
        <v>41033900</v>
      </c>
      <c r="D119" s="241">
        <v>243334.5</v>
      </c>
      <c r="E119" s="241">
        <v>56191.6</v>
      </c>
      <c r="F119" s="241">
        <v>56191.6</v>
      </c>
      <c r="G119" s="241">
        <f t="shared" si="27"/>
        <v>0</v>
      </c>
      <c r="H119" s="241">
        <f t="shared" si="29"/>
        <v>100</v>
      </c>
      <c r="I119" s="35">
        <f t="shared" si="28"/>
        <v>-187142.9</v>
      </c>
      <c r="J119" s="35">
        <f t="shared" si="30"/>
        <v>23.092327639525013</v>
      </c>
      <c r="Q119" s="88"/>
      <c r="S119" s="4"/>
      <c r="T119" s="4"/>
      <c r="U119" s="4"/>
      <c r="V119" s="4"/>
      <c r="W119" s="4"/>
    </row>
    <row r="120" spans="2:23" ht="26.25" hidden="1">
      <c r="B120" s="237" t="s">
        <v>149</v>
      </c>
      <c r="C120" s="236">
        <v>41034200</v>
      </c>
      <c r="D120" s="241">
        <v>238249.5</v>
      </c>
      <c r="E120" s="241">
        <v>59541.9</v>
      </c>
      <c r="F120" s="241">
        <v>59541.9</v>
      </c>
      <c r="G120" s="241">
        <f t="shared" si="27"/>
        <v>0</v>
      </c>
      <c r="H120" s="241">
        <f t="shared" si="29"/>
        <v>100</v>
      </c>
      <c r="I120" s="35">
        <f t="shared" si="28"/>
        <v>-178707.6</v>
      </c>
      <c r="J120" s="35">
        <f t="shared" si="30"/>
        <v>24.991406068008537</v>
      </c>
      <c r="Q120" s="88"/>
      <c r="S120" s="4"/>
      <c r="T120" s="4"/>
      <c r="U120" s="4"/>
      <c r="V120" s="4"/>
      <c r="W120" s="4"/>
    </row>
    <row r="121" spans="2:23" ht="15" hidden="1">
      <c r="B121" s="237" t="s">
        <v>144</v>
      </c>
      <c r="C121" s="236">
        <v>41035000</v>
      </c>
      <c r="D121" s="241">
        <v>16239.09</v>
      </c>
      <c r="E121" s="241">
        <v>4193.79</v>
      </c>
      <c r="F121" s="241">
        <v>3733.65</v>
      </c>
      <c r="G121" s="241">
        <f t="shared" si="27"/>
        <v>-460.1399999999999</v>
      </c>
      <c r="H121" s="241">
        <f t="shared" si="29"/>
        <v>89.02806292160552</v>
      </c>
      <c r="I121" s="35">
        <f t="shared" si="28"/>
        <v>-12505.44</v>
      </c>
      <c r="J121" s="35">
        <f t="shared" si="30"/>
        <v>22.99174399550714</v>
      </c>
      <c r="Q121" s="88"/>
      <c r="S121" s="4"/>
      <c r="T121" s="4"/>
      <c r="U121" s="4"/>
      <c r="V121" s="4"/>
      <c r="W121" s="4"/>
    </row>
    <row r="122" spans="2:23" ht="39" hidden="1">
      <c r="B122" s="237" t="s">
        <v>169</v>
      </c>
      <c r="C122" s="236">
        <v>41035400</v>
      </c>
      <c r="D122" s="241">
        <v>0</v>
      </c>
      <c r="E122" s="241">
        <v>0</v>
      </c>
      <c r="F122" s="241">
        <v>165.7</v>
      </c>
      <c r="G122" s="241">
        <f t="shared" si="27"/>
        <v>165.7</v>
      </c>
      <c r="H122" s="241">
        <f t="shared" si="29"/>
        <v>0</v>
      </c>
      <c r="I122" s="35">
        <f t="shared" si="28"/>
        <v>165.7</v>
      </c>
      <c r="J122" s="35" t="e">
        <f t="shared" si="30"/>
        <v>#DIV/0!</v>
      </c>
      <c r="Q122" s="88"/>
      <c r="S122" s="4"/>
      <c r="T122" s="4"/>
      <c r="U122" s="4"/>
      <c r="V122" s="4"/>
      <c r="W122" s="4"/>
    </row>
    <row r="123" spans="2:23" ht="63.75" hidden="1">
      <c r="B123" s="237" t="s">
        <v>168</v>
      </c>
      <c r="C123" s="236">
        <v>41035800</v>
      </c>
      <c r="D123" s="241">
        <v>4356.3</v>
      </c>
      <c r="E123" s="241">
        <v>909.9</v>
      </c>
      <c r="F123" s="241">
        <v>835.68</v>
      </c>
      <c r="G123" s="241">
        <f t="shared" si="27"/>
        <v>-74.22000000000003</v>
      </c>
      <c r="H123" s="241">
        <f t="shared" si="29"/>
        <v>91.84305967688756</v>
      </c>
      <c r="I123" s="35">
        <f t="shared" si="28"/>
        <v>-3520.6200000000003</v>
      </c>
      <c r="J123" s="35">
        <f t="shared" si="30"/>
        <v>19.183251842159628</v>
      </c>
      <c r="Q123" s="88"/>
      <c r="S123" s="4"/>
      <c r="T123" s="4"/>
      <c r="U123" s="4"/>
      <c r="V123" s="4"/>
      <c r="W123" s="4"/>
    </row>
    <row r="124" spans="2:17" s="239" customFormat="1" ht="25.5" customHeight="1" hidden="1">
      <c r="B124" s="273" t="s">
        <v>146</v>
      </c>
      <c r="C124" s="274"/>
      <c r="D124" s="275">
        <f>D112+D113</f>
        <v>2898424.04</v>
      </c>
      <c r="E124" s="275">
        <f>E112+E113</f>
        <v>887467.26</v>
      </c>
      <c r="F124" s="275">
        <f>F112+F113</f>
        <v>877166.4099999999</v>
      </c>
      <c r="G124" s="276">
        <f t="shared" si="27"/>
        <v>-10300.850000000093</v>
      </c>
      <c r="H124" s="275">
        <f t="shared" si="29"/>
        <v>98.83929802661113</v>
      </c>
      <c r="I124" s="277">
        <f t="shared" si="28"/>
        <v>-2021257.6300000001</v>
      </c>
      <c r="J124" s="277">
        <f t="shared" si="30"/>
        <v>30.263563850374354</v>
      </c>
      <c r="Q124" s="240"/>
    </row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</sheetData>
  <sheetProtection/>
  <mergeCells count="37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G94:H94"/>
    <mergeCell ref="J94:N94"/>
    <mergeCell ref="O94:P94"/>
    <mergeCell ref="G95:H95"/>
    <mergeCell ref="J95:N95"/>
    <mergeCell ref="O95:P95"/>
    <mergeCell ref="P4:P5"/>
    <mergeCell ref="Q4:Q5"/>
    <mergeCell ref="K5:M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1811023622047245" right="0.11811023622047245" top="0.1968503937007874" bottom="0.15748031496062992" header="0" footer="0"/>
  <pageSetup fitToHeight="1" fitToWidth="1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3" zoomScaleNormal="73" zoomScalePageLayoutView="0" workbookViewId="0" topLeftCell="B1">
      <pane xSplit="2" ySplit="8" topLeftCell="D4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61" sqref="D6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8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287" t="s">
        <v>139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85"/>
      <c r="S1" s="86"/>
    </row>
    <row r="2" spans="2:19" s="1" customFormat="1" ht="15.75" customHeight="1">
      <c r="B2" s="288"/>
      <c r="C2" s="288"/>
      <c r="D2" s="288"/>
      <c r="E2" s="2"/>
      <c r="F2" s="111"/>
      <c r="G2" s="2"/>
      <c r="H2" s="2"/>
      <c r="M2" s="1" t="s">
        <v>24</v>
      </c>
      <c r="Q2" s="17" t="s">
        <v>24</v>
      </c>
      <c r="R2" s="17"/>
      <c r="S2" s="87"/>
    </row>
    <row r="3" spans="1:19" s="3" customFormat="1" ht="13.5" customHeight="1">
      <c r="A3" s="289"/>
      <c r="B3" s="291"/>
      <c r="C3" s="292" t="s">
        <v>0</v>
      </c>
      <c r="D3" s="293" t="s">
        <v>138</v>
      </c>
      <c r="E3" s="31"/>
      <c r="F3" s="294" t="s">
        <v>26</v>
      </c>
      <c r="G3" s="295"/>
      <c r="H3" s="295"/>
      <c r="I3" s="295"/>
      <c r="J3" s="296"/>
      <c r="K3" s="82"/>
      <c r="L3" s="82"/>
      <c r="M3" s="82"/>
      <c r="N3" s="297" t="s">
        <v>132</v>
      </c>
      <c r="O3" s="300" t="s">
        <v>136</v>
      </c>
      <c r="P3" s="300"/>
      <c r="Q3" s="300"/>
      <c r="R3" s="300"/>
      <c r="S3" s="300"/>
    </row>
    <row r="4" spans="1:19" ht="22.5" customHeight="1">
      <c r="A4" s="289"/>
      <c r="B4" s="291"/>
      <c r="C4" s="292"/>
      <c r="D4" s="293"/>
      <c r="E4" s="283" t="s">
        <v>137</v>
      </c>
      <c r="F4" s="309" t="s">
        <v>33</v>
      </c>
      <c r="G4" s="301" t="s">
        <v>133</v>
      </c>
      <c r="H4" s="298" t="s">
        <v>134</v>
      </c>
      <c r="I4" s="301" t="s">
        <v>125</v>
      </c>
      <c r="J4" s="298" t="s">
        <v>126</v>
      </c>
      <c r="K4" s="84" t="s">
        <v>128</v>
      </c>
      <c r="L4" s="202" t="s">
        <v>111</v>
      </c>
      <c r="M4" s="89" t="s">
        <v>63</v>
      </c>
      <c r="N4" s="298"/>
      <c r="O4" s="285" t="s">
        <v>140</v>
      </c>
      <c r="P4" s="301" t="s">
        <v>49</v>
      </c>
      <c r="Q4" s="303" t="s">
        <v>48</v>
      </c>
      <c r="R4" s="90" t="s">
        <v>64</v>
      </c>
      <c r="S4" s="91" t="s">
        <v>63</v>
      </c>
    </row>
    <row r="5" spans="1:19" ht="67.5" customHeight="1">
      <c r="A5" s="290"/>
      <c r="B5" s="291"/>
      <c r="C5" s="292"/>
      <c r="D5" s="293"/>
      <c r="E5" s="284"/>
      <c r="F5" s="310"/>
      <c r="G5" s="302"/>
      <c r="H5" s="299"/>
      <c r="I5" s="302"/>
      <c r="J5" s="299"/>
      <c r="K5" s="304" t="s">
        <v>135</v>
      </c>
      <c r="L5" s="305"/>
      <c r="M5" s="306"/>
      <c r="N5" s="299"/>
      <c r="O5" s="286"/>
      <c r="P5" s="302"/>
      <c r="Q5" s="303"/>
      <c r="R5" s="304" t="s">
        <v>102</v>
      </c>
      <c r="S5" s="306"/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19" s="6" customFormat="1" ht="17.25">
      <c r="A8" s="7"/>
      <c r="B8" s="152" t="s">
        <v>9</v>
      </c>
      <c r="C8" s="69" t="s">
        <v>10</v>
      </c>
      <c r="D8" s="149">
        <f>D9+D15+D18+D19+D20+D37+D17</f>
        <v>1298451.1</v>
      </c>
      <c r="E8" s="149">
        <f>E9+E15+E18+E19+E20+E37+E17</f>
        <v>196245.5</v>
      </c>
      <c r="F8" s="149">
        <f>F9+F15+F18+F19+F20+F37+F17</f>
        <v>194831.47000000003</v>
      </c>
      <c r="G8" s="149">
        <f aca="true" t="shared" si="0" ref="G8:G37">F8-E8</f>
        <v>-1414.0299999999697</v>
      </c>
      <c r="H8" s="150">
        <f>F8/E8*100</f>
        <v>99.27945863726814</v>
      </c>
      <c r="I8" s="151">
        <f>F8-D8</f>
        <v>-1103619.6300000001</v>
      </c>
      <c r="J8" s="151">
        <f>F8/D8*100</f>
        <v>15.004913931683683</v>
      </c>
      <c r="K8" s="149">
        <v>140423.02</v>
      </c>
      <c r="L8" s="149">
        <f aca="true" t="shared" si="1" ref="L8:L51">F8-K8</f>
        <v>54408.45000000004</v>
      </c>
      <c r="M8" s="203">
        <f aca="true" t="shared" si="2" ref="M8:M28">F8/K8</f>
        <v>1.3874610444925628</v>
      </c>
      <c r="N8" s="149">
        <f>N9+N15+N18+N19+N20+N17</f>
        <v>101878</v>
      </c>
      <c r="O8" s="149">
        <f>O9+O15+O18+O19+O20+O17</f>
        <v>100974.5</v>
      </c>
      <c r="P8" s="149">
        <f>O8-N8</f>
        <v>-903.5</v>
      </c>
      <c r="Q8" s="149">
        <f>O8/N8*100</f>
        <v>99.11315495003828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2">
        <v>11010000</v>
      </c>
      <c r="D9" s="148">
        <v>766645</v>
      </c>
      <c r="E9" s="148">
        <v>102200</v>
      </c>
      <c r="F9" s="154">
        <v>101885.94</v>
      </c>
      <c r="G9" s="148">
        <f t="shared" si="0"/>
        <v>-314.0599999999977</v>
      </c>
      <c r="H9" s="155">
        <f>F9/E9*100</f>
        <v>99.69270058708415</v>
      </c>
      <c r="I9" s="156">
        <f>F9-D9</f>
        <v>-664759.06</v>
      </c>
      <c r="J9" s="156">
        <f>F9/D9*100</f>
        <v>13.289846017387449</v>
      </c>
      <c r="K9" s="225">
        <v>70324.6</v>
      </c>
      <c r="L9" s="157">
        <f t="shared" si="1"/>
        <v>31561.339999999997</v>
      </c>
      <c r="M9" s="204">
        <f t="shared" si="2"/>
        <v>1.4487951584509544</v>
      </c>
      <c r="N9" s="155">
        <f>E9-'січень 17'!E9</f>
        <v>54500</v>
      </c>
      <c r="O9" s="158">
        <f>F9-'січень 17'!F9</f>
        <v>54961.01</v>
      </c>
      <c r="P9" s="159">
        <f>O9-N9</f>
        <v>461.01000000000204</v>
      </c>
      <c r="Q9" s="156">
        <f>O9/N9*100</f>
        <v>100.8458899082569</v>
      </c>
      <c r="R9" s="99"/>
      <c r="S9" s="100"/>
      <c r="T9" s="145">
        <f>D9-E9</f>
        <v>664445</v>
      </c>
    </row>
    <row r="10" spans="1:20" s="6" customFormat="1" ht="15" hidden="1">
      <c r="A10" s="8"/>
      <c r="B10" s="120" t="s">
        <v>89</v>
      </c>
      <c r="C10" s="101">
        <v>11010100</v>
      </c>
      <c r="D10" s="102">
        <v>701317</v>
      </c>
      <c r="E10" s="102">
        <v>92348</v>
      </c>
      <c r="F10" s="138">
        <v>92726.64</v>
      </c>
      <c r="G10" s="102">
        <f t="shared" si="0"/>
        <v>378.6399999999994</v>
      </c>
      <c r="H10" s="29">
        <f aca="true" t="shared" si="3" ref="H10:H36">F10/E10*100</f>
        <v>100.4100142937584</v>
      </c>
      <c r="I10" s="103">
        <f aca="true" t="shared" si="4" ref="I10:I37">F10-D10</f>
        <v>-608590.36</v>
      </c>
      <c r="J10" s="103">
        <f aca="true" t="shared" si="5" ref="J10:J36">F10/D10*100</f>
        <v>13.22178700929822</v>
      </c>
      <c r="K10" s="105">
        <v>62213.95</v>
      </c>
      <c r="L10" s="105">
        <f t="shared" si="1"/>
        <v>30512.690000000002</v>
      </c>
      <c r="M10" s="205">
        <f t="shared" si="2"/>
        <v>1.4904477211300682</v>
      </c>
      <c r="N10" s="104">
        <f>E10-'січень 17'!E10</f>
        <v>49064</v>
      </c>
      <c r="O10" s="142">
        <f>F10-'січень 17'!F10</f>
        <v>49583.71</v>
      </c>
      <c r="P10" s="105">
        <f aca="true" t="shared" si="6" ref="P10:P37">O10-N10</f>
        <v>519.7099999999991</v>
      </c>
      <c r="Q10" s="103">
        <f aca="true" t="shared" si="7" ref="Q10:Q18">O10/N10*100</f>
        <v>101.05924914397522</v>
      </c>
      <c r="R10" s="36"/>
      <c r="S10" s="93"/>
      <c r="T10" s="145">
        <f aca="true" t="shared" si="8" ref="T10:T73">D10-E10</f>
        <v>608969</v>
      </c>
    </row>
    <row r="11" spans="1:20" s="6" customFormat="1" ht="15" hidden="1">
      <c r="A11" s="8"/>
      <c r="B11" s="120" t="s">
        <v>85</v>
      </c>
      <c r="C11" s="101">
        <v>11010200</v>
      </c>
      <c r="D11" s="102">
        <v>46506</v>
      </c>
      <c r="E11" s="102">
        <v>7200</v>
      </c>
      <c r="F11" s="138">
        <v>5895.26</v>
      </c>
      <c r="G11" s="102">
        <f t="shared" si="0"/>
        <v>-1304.7399999999998</v>
      </c>
      <c r="H11" s="29">
        <f t="shared" si="3"/>
        <v>81.87861111111111</v>
      </c>
      <c r="I11" s="103">
        <f t="shared" si="4"/>
        <v>-40610.74</v>
      </c>
      <c r="J11" s="103">
        <f t="shared" si="5"/>
        <v>12.676342837483338</v>
      </c>
      <c r="K11" s="105">
        <v>5319.16</v>
      </c>
      <c r="L11" s="105">
        <f t="shared" si="1"/>
        <v>576.1000000000004</v>
      </c>
      <c r="M11" s="205">
        <f t="shared" si="2"/>
        <v>1.1083065747223246</v>
      </c>
      <c r="N11" s="104">
        <f>E11-'січень 17'!E11</f>
        <v>3600</v>
      </c>
      <c r="O11" s="142">
        <f>F11-'січень 17'!F11</f>
        <v>3213.5600000000004</v>
      </c>
      <c r="P11" s="105">
        <f t="shared" si="6"/>
        <v>-386.4399999999996</v>
      </c>
      <c r="Q11" s="103">
        <f t="shared" si="7"/>
        <v>89.26555555555557</v>
      </c>
      <c r="R11" s="36"/>
      <c r="S11" s="93"/>
      <c r="T11" s="145">
        <f t="shared" si="8"/>
        <v>39306</v>
      </c>
    </row>
    <row r="12" spans="1:20" s="6" customFormat="1" ht="15" hidden="1">
      <c r="A12" s="8"/>
      <c r="B12" s="120" t="s">
        <v>88</v>
      </c>
      <c r="C12" s="101">
        <v>11010400</v>
      </c>
      <c r="D12" s="102">
        <v>8280</v>
      </c>
      <c r="E12" s="102">
        <v>840</v>
      </c>
      <c r="F12" s="138">
        <v>1037.42</v>
      </c>
      <c r="G12" s="102">
        <f t="shared" si="0"/>
        <v>197.42000000000007</v>
      </c>
      <c r="H12" s="29">
        <f t="shared" si="3"/>
        <v>123.50238095238095</v>
      </c>
      <c r="I12" s="103">
        <f t="shared" si="4"/>
        <v>-7242.58</v>
      </c>
      <c r="J12" s="103">
        <f t="shared" si="5"/>
        <v>12.529227053140096</v>
      </c>
      <c r="K12" s="105">
        <v>822.03</v>
      </c>
      <c r="L12" s="105">
        <f t="shared" si="1"/>
        <v>215.3900000000001</v>
      </c>
      <c r="M12" s="205">
        <f t="shared" si="2"/>
        <v>1.2620220673211442</v>
      </c>
      <c r="N12" s="104">
        <f>E12-'січень 17'!E12</f>
        <v>420</v>
      </c>
      <c r="O12" s="142">
        <f>F12-'січень 17'!F12</f>
        <v>536.99</v>
      </c>
      <c r="P12" s="105">
        <f t="shared" si="6"/>
        <v>116.99000000000001</v>
      </c>
      <c r="Q12" s="103">
        <f t="shared" si="7"/>
        <v>127.8547619047619</v>
      </c>
      <c r="R12" s="36"/>
      <c r="S12" s="93"/>
      <c r="T12" s="145">
        <f t="shared" si="8"/>
        <v>7440</v>
      </c>
    </row>
    <row r="13" spans="1:20" s="6" customFormat="1" ht="15" hidden="1">
      <c r="A13" s="8"/>
      <c r="B13" s="120" t="s">
        <v>86</v>
      </c>
      <c r="C13" s="101">
        <v>11010500</v>
      </c>
      <c r="D13" s="102">
        <v>9390</v>
      </c>
      <c r="E13" s="102">
        <v>1620</v>
      </c>
      <c r="F13" s="138">
        <v>2028.32</v>
      </c>
      <c r="G13" s="102">
        <f t="shared" si="0"/>
        <v>408.31999999999994</v>
      </c>
      <c r="H13" s="29">
        <f t="shared" si="3"/>
        <v>125.20493827160493</v>
      </c>
      <c r="I13" s="103">
        <f t="shared" si="4"/>
        <v>-7361.68</v>
      </c>
      <c r="J13" s="103">
        <f t="shared" si="5"/>
        <v>21.600851970181044</v>
      </c>
      <c r="K13" s="105">
        <v>1514.49</v>
      </c>
      <c r="L13" s="105">
        <f t="shared" si="1"/>
        <v>513.8299999999999</v>
      </c>
      <c r="M13" s="205">
        <f t="shared" si="2"/>
        <v>1.339275927870108</v>
      </c>
      <c r="N13" s="104">
        <f>E13-'січень 17'!E13</f>
        <v>1320</v>
      </c>
      <c r="O13" s="142">
        <f>F13-'січень 17'!F13</f>
        <v>1528.96</v>
      </c>
      <c r="P13" s="105">
        <f t="shared" si="6"/>
        <v>208.96000000000004</v>
      </c>
      <c r="Q13" s="103">
        <f t="shared" si="7"/>
        <v>115.83030303030304</v>
      </c>
      <c r="R13" s="36"/>
      <c r="S13" s="93"/>
      <c r="T13" s="145">
        <f t="shared" si="8"/>
        <v>7770</v>
      </c>
    </row>
    <row r="14" spans="1:22" s="6" customFormat="1" ht="15" hidden="1">
      <c r="A14" s="8"/>
      <c r="B14" s="120" t="s">
        <v>87</v>
      </c>
      <c r="C14" s="101">
        <v>11010900</v>
      </c>
      <c r="D14" s="102">
        <v>1152</v>
      </c>
      <c r="E14" s="102">
        <v>192</v>
      </c>
      <c r="F14" s="138">
        <v>198.31</v>
      </c>
      <c r="G14" s="102">
        <f t="shared" si="0"/>
        <v>6.310000000000002</v>
      </c>
      <c r="H14" s="29">
        <f t="shared" si="3"/>
        <v>103.28645833333334</v>
      </c>
      <c r="I14" s="103">
        <f t="shared" si="4"/>
        <v>-953.69</v>
      </c>
      <c r="J14" s="103">
        <f t="shared" si="5"/>
        <v>17.214409722222225</v>
      </c>
      <c r="K14" s="105">
        <v>454.97</v>
      </c>
      <c r="L14" s="105">
        <f t="shared" si="1"/>
        <v>-256.66</v>
      </c>
      <c r="M14" s="205">
        <f t="shared" si="2"/>
        <v>0.435874892850078</v>
      </c>
      <c r="N14" s="104">
        <f>E14-'січень 17'!E14</f>
        <v>96</v>
      </c>
      <c r="O14" s="142">
        <f>F14-'січень 17'!F14</f>
        <v>97.81</v>
      </c>
      <c r="P14" s="105">
        <f t="shared" si="6"/>
        <v>1.8100000000000023</v>
      </c>
      <c r="Q14" s="103">
        <f t="shared" si="7"/>
        <v>101.88541666666666</v>
      </c>
      <c r="R14" s="36"/>
      <c r="S14" s="93"/>
      <c r="T14" s="145">
        <f t="shared" si="8"/>
        <v>960</v>
      </c>
      <c r="U14" s="222"/>
      <c r="V14" s="145"/>
    </row>
    <row r="15" spans="1:20" s="6" customFormat="1" ht="30.75">
      <c r="A15" s="8"/>
      <c r="B15" s="12" t="s">
        <v>11</v>
      </c>
      <c r="C15" s="42">
        <v>11020200</v>
      </c>
      <c r="D15" s="148">
        <v>551</v>
      </c>
      <c r="E15" s="148">
        <v>51</v>
      </c>
      <c r="F15" s="154">
        <v>13.91</v>
      </c>
      <c r="G15" s="148">
        <f t="shared" si="0"/>
        <v>-37.09</v>
      </c>
      <c r="H15" s="155">
        <f>F15/E15*100</f>
        <v>27.27450980392157</v>
      </c>
      <c r="I15" s="156">
        <f t="shared" si="4"/>
        <v>-537.09</v>
      </c>
      <c r="J15" s="156">
        <f t="shared" si="5"/>
        <v>2.5245009074410163</v>
      </c>
      <c r="K15" s="159">
        <v>85.14</v>
      </c>
      <c r="L15" s="159">
        <f t="shared" si="1"/>
        <v>-71.23</v>
      </c>
      <c r="M15" s="206">
        <f t="shared" si="2"/>
        <v>0.1633779657035471</v>
      </c>
      <c r="N15" s="135">
        <f>E15-'січень 17'!E15</f>
        <v>51</v>
      </c>
      <c r="O15" s="143">
        <f>F15-'січень 17'!F15</f>
        <v>13.91</v>
      </c>
      <c r="P15" s="159">
        <f t="shared" si="6"/>
        <v>-37.09</v>
      </c>
      <c r="Q15" s="156">
        <f t="shared" si="7"/>
        <v>27.27450980392157</v>
      </c>
      <c r="R15" s="36"/>
      <c r="S15" s="93"/>
      <c r="T15" s="145">
        <f t="shared" si="8"/>
        <v>500</v>
      </c>
    </row>
    <row r="16" spans="1:20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55">
        <f>E16-'січень 17'!E16</f>
        <v>0</v>
      </c>
      <c r="O16" s="158">
        <f>F16-'січень 17'!F16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108">
        <f>O16/358.79</f>
        <v>0</v>
      </c>
      <c r="T16" s="145">
        <f t="shared" si="8"/>
        <v>0</v>
      </c>
    </row>
    <row r="17" spans="1:20" s="6" customFormat="1" ht="30.75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55" t="e">
        <f>F17/E17/100</f>
        <v>#DIV/0!</v>
      </c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>
        <f t="shared" si="2"/>
        <v>0</v>
      </c>
      <c r="N17" s="155">
        <f>E17-'січень 17'!E17</f>
        <v>0</v>
      </c>
      <c r="O17" s="158">
        <f>F17-'січень 17'!F17</f>
        <v>0</v>
      </c>
      <c r="P17" s="165">
        <f t="shared" si="6"/>
        <v>0</v>
      </c>
      <c r="Q17" s="156" t="e">
        <f t="shared" si="7"/>
        <v>#DIV/0!</v>
      </c>
      <c r="R17" s="103"/>
      <c r="S17" s="108"/>
      <c r="T17" s="145">
        <f t="shared" si="8"/>
        <v>0</v>
      </c>
    </row>
    <row r="18" spans="1:20" s="6" customFormat="1" ht="30.75">
      <c r="A18" s="8"/>
      <c r="B18" s="13" t="s">
        <v>114</v>
      </c>
      <c r="C18" s="42">
        <v>13030200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55">
        <f>E18-'січень 17'!E18</f>
        <v>70</v>
      </c>
      <c r="O18" s="158">
        <f>F18-'січень 17'!F18</f>
        <v>118.46</v>
      </c>
      <c r="P18" s="159">
        <f t="shared" si="6"/>
        <v>48.459999999999994</v>
      </c>
      <c r="Q18" s="156">
        <f t="shared" si="7"/>
        <v>169.22857142857143</v>
      </c>
      <c r="R18" s="36"/>
      <c r="S18" s="93"/>
      <c r="T18" s="145">
        <f t="shared" si="8"/>
        <v>55</v>
      </c>
    </row>
    <row r="19" spans="1:20" s="6" customFormat="1" ht="46.5">
      <c r="A19" s="8"/>
      <c r="B19" s="43" t="s">
        <v>72</v>
      </c>
      <c r="C19" s="42">
        <v>14040000</v>
      </c>
      <c r="D19" s="148">
        <v>130000</v>
      </c>
      <c r="E19" s="148">
        <v>18000</v>
      </c>
      <c r="F19" s="154">
        <v>13705.91</v>
      </c>
      <c r="G19" s="148">
        <f t="shared" si="0"/>
        <v>-4294.09</v>
      </c>
      <c r="H19" s="155">
        <f t="shared" si="3"/>
        <v>76.14394444444444</v>
      </c>
      <c r="I19" s="156">
        <f t="shared" si="4"/>
        <v>-116294.09</v>
      </c>
      <c r="J19" s="156">
        <f t="shared" si="5"/>
        <v>10.543007692307691</v>
      </c>
      <c r="K19" s="167">
        <v>10861</v>
      </c>
      <c r="L19" s="159">
        <f t="shared" si="1"/>
        <v>2844.91</v>
      </c>
      <c r="M19" s="211">
        <f t="shared" si="2"/>
        <v>1.2619381272442685</v>
      </c>
      <c r="N19" s="155">
        <f>E19-'січень 17'!E19</f>
        <v>8300</v>
      </c>
      <c r="O19" s="158">
        <f>F19-'січень 17'!F19</f>
        <v>3954.16</v>
      </c>
      <c r="P19" s="159">
        <f t="shared" si="6"/>
        <v>-4345.84</v>
      </c>
      <c r="Q19" s="156">
        <f aca="true" t="shared" si="9" ref="Q19:Q24">O19/N19*100</f>
        <v>47.640481927710844</v>
      </c>
      <c r="R19" s="106"/>
      <c r="S19" s="107"/>
      <c r="T19" s="145">
        <f t="shared" si="8"/>
        <v>112000</v>
      </c>
    </row>
    <row r="20" spans="1:20" s="6" customFormat="1" ht="18">
      <c r="A20" s="8"/>
      <c r="B20" s="116" t="s">
        <v>73</v>
      </c>
      <c r="C20" s="42">
        <v>18000000</v>
      </c>
      <c r="D20" s="148">
        <f>D21+D30+D32+D29</f>
        <v>401130.1</v>
      </c>
      <c r="E20" s="148">
        <f>E21+E30+E32+E29</f>
        <v>75924.5</v>
      </c>
      <c r="F20" s="221">
        <f>F21+F29+F30+F31+F32</f>
        <v>79107.25</v>
      </c>
      <c r="G20" s="148">
        <f t="shared" si="0"/>
        <v>3182.75</v>
      </c>
      <c r="H20" s="155">
        <f t="shared" si="3"/>
        <v>104.19199336182655</v>
      </c>
      <c r="I20" s="156">
        <f t="shared" si="4"/>
        <v>-322022.85</v>
      </c>
      <c r="J20" s="156">
        <f t="shared" si="5"/>
        <v>19.721095475009232</v>
      </c>
      <c r="K20" s="156">
        <v>59046.44</v>
      </c>
      <c r="L20" s="159">
        <f t="shared" si="1"/>
        <v>20060.809999999998</v>
      </c>
      <c r="M20" s="207">
        <f t="shared" si="2"/>
        <v>1.3397463081601533</v>
      </c>
      <c r="N20" s="155">
        <f>E20-'січень 17'!E20</f>
        <v>38957</v>
      </c>
      <c r="O20" s="158">
        <f>F20-'січень 17'!F20</f>
        <v>41926.96</v>
      </c>
      <c r="P20" s="159">
        <f t="shared" si="6"/>
        <v>2969.959999999999</v>
      </c>
      <c r="Q20" s="156">
        <f t="shared" si="9"/>
        <v>107.62368765562029</v>
      </c>
      <c r="R20" s="106"/>
      <c r="S20" s="107"/>
      <c r="T20" s="145">
        <f t="shared" si="8"/>
        <v>325205.6</v>
      </c>
    </row>
    <row r="21" spans="1:20" s="6" customFormat="1" ht="18">
      <c r="A21" s="8"/>
      <c r="B21" s="43" t="s">
        <v>81</v>
      </c>
      <c r="C21" s="113">
        <v>18010000</v>
      </c>
      <c r="D21" s="148">
        <f>D22+D25+D26</f>
        <v>206621</v>
      </c>
      <c r="E21" s="148">
        <f>E22+E25+E26</f>
        <v>32080.8</v>
      </c>
      <c r="F21" s="168">
        <f>F22+F25+F26</f>
        <v>31455.05</v>
      </c>
      <c r="G21" s="148">
        <f t="shared" si="0"/>
        <v>-625.75</v>
      </c>
      <c r="H21" s="155">
        <f t="shared" si="3"/>
        <v>98.04945637265904</v>
      </c>
      <c r="I21" s="156">
        <f t="shared" si="4"/>
        <v>-175165.95</v>
      </c>
      <c r="J21" s="156">
        <f t="shared" si="5"/>
        <v>15.22354939720551</v>
      </c>
      <c r="K21" s="156">
        <v>25484.06</v>
      </c>
      <c r="L21" s="159">
        <f t="shared" si="1"/>
        <v>5970.989999999998</v>
      </c>
      <c r="M21" s="207">
        <f t="shared" si="2"/>
        <v>1.2343029328921686</v>
      </c>
      <c r="N21" s="155">
        <f>E21-'січень 17'!E21</f>
        <v>15335</v>
      </c>
      <c r="O21" s="158">
        <f>F21-'січень 17'!F21</f>
        <v>14934.77</v>
      </c>
      <c r="P21" s="159">
        <f t="shared" si="6"/>
        <v>-400.22999999999956</v>
      </c>
      <c r="Q21" s="156">
        <f t="shared" si="9"/>
        <v>97.39008803390936</v>
      </c>
      <c r="R21" s="106"/>
      <c r="S21" s="107"/>
      <c r="T21" s="145">
        <f t="shared" si="8"/>
        <v>174540.2</v>
      </c>
    </row>
    <row r="22" spans="1:21" s="6" customFormat="1" ht="18">
      <c r="A22" s="8"/>
      <c r="B22" s="49" t="s">
        <v>74</v>
      </c>
      <c r="C22" s="122"/>
      <c r="D22" s="169">
        <v>22809</v>
      </c>
      <c r="E22" s="169">
        <v>4375</v>
      </c>
      <c r="F22" s="170">
        <v>4408.21</v>
      </c>
      <c r="G22" s="169">
        <f t="shared" si="0"/>
        <v>33.210000000000036</v>
      </c>
      <c r="H22" s="171">
        <f t="shared" si="3"/>
        <v>100.75908571428572</v>
      </c>
      <c r="I22" s="172">
        <f t="shared" si="4"/>
        <v>-18400.79</v>
      </c>
      <c r="J22" s="172">
        <f t="shared" si="5"/>
        <v>19.326625454864306</v>
      </c>
      <c r="K22" s="173">
        <v>3552.77</v>
      </c>
      <c r="L22" s="164">
        <f t="shared" si="1"/>
        <v>855.44</v>
      </c>
      <c r="M22" s="213">
        <f t="shared" si="2"/>
        <v>1.2407811369719965</v>
      </c>
      <c r="N22" s="193">
        <f>E22-'січень 17'!E22</f>
        <v>225</v>
      </c>
      <c r="O22" s="177">
        <f>F22-'січень 17'!F22</f>
        <v>588.5999999999999</v>
      </c>
      <c r="P22" s="175">
        <f t="shared" si="6"/>
        <v>363.5999999999999</v>
      </c>
      <c r="Q22" s="172">
        <f t="shared" si="9"/>
        <v>261.59999999999997</v>
      </c>
      <c r="R22" s="106"/>
      <c r="S22" s="107"/>
      <c r="T22" s="145">
        <f t="shared" si="8"/>
        <v>18434</v>
      </c>
      <c r="U22" s="145"/>
    </row>
    <row r="23" spans="1:21" s="6" customFormat="1" ht="18" hidden="1">
      <c r="A23" s="8"/>
      <c r="B23" s="194" t="s">
        <v>107</v>
      </c>
      <c r="C23" s="195"/>
      <c r="D23" s="196">
        <v>1822.3</v>
      </c>
      <c r="E23" s="196">
        <v>195</v>
      </c>
      <c r="F23" s="161">
        <v>150.23</v>
      </c>
      <c r="G23" s="196">
        <f t="shared" si="0"/>
        <v>-44.77000000000001</v>
      </c>
      <c r="H23" s="197">
        <f t="shared" si="3"/>
        <v>77.04102564102564</v>
      </c>
      <c r="I23" s="198">
        <f t="shared" si="4"/>
        <v>-1672.07</v>
      </c>
      <c r="J23" s="198">
        <f t="shared" si="5"/>
        <v>8.243977391208912</v>
      </c>
      <c r="K23" s="198">
        <v>146.88</v>
      </c>
      <c r="L23" s="198">
        <f t="shared" si="1"/>
        <v>3.3499999999999943</v>
      </c>
      <c r="M23" s="226">
        <f t="shared" si="2"/>
        <v>1.022807734204793</v>
      </c>
      <c r="N23" s="234">
        <f>E23-'січень 17'!E23</f>
        <v>55</v>
      </c>
      <c r="O23" s="234">
        <f>F23-'січень 17'!F23</f>
        <v>29.859999999999985</v>
      </c>
      <c r="P23" s="198">
        <f t="shared" si="6"/>
        <v>-25.140000000000015</v>
      </c>
      <c r="Q23" s="198">
        <f t="shared" si="9"/>
        <v>54.29090909090907</v>
      </c>
      <c r="R23" s="106"/>
      <c r="S23" s="107"/>
      <c r="T23" s="145">
        <f t="shared" si="8"/>
        <v>1627.3</v>
      </c>
      <c r="U23" s="145"/>
    </row>
    <row r="24" spans="1:21" s="6" customFormat="1" ht="18" hidden="1">
      <c r="A24" s="8"/>
      <c r="B24" s="194" t="s">
        <v>108</v>
      </c>
      <c r="C24" s="195"/>
      <c r="D24" s="196">
        <v>20986.7</v>
      </c>
      <c r="E24" s="196">
        <v>4180</v>
      </c>
      <c r="F24" s="161">
        <v>4257.98</v>
      </c>
      <c r="G24" s="196">
        <f t="shared" si="0"/>
        <v>77.97999999999956</v>
      </c>
      <c r="H24" s="197">
        <f t="shared" si="3"/>
        <v>101.86555023923445</v>
      </c>
      <c r="I24" s="198">
        <f t="shared" si="4"/>
        <v>-16728.72</v>
      </c>
      <c r="J24" s="198">
        <f t="shared" si="5"/>
        <v>20.288944903200594</v>
      </c>
      <c r="K24" s="198">
        <v>3405.89</v>
      </c>
      <c r="L24" s="198">
        <f t="shared" si="1"/>
        <v>852.0899999999997</v>
      </c>
      <c r="M24" s="226">
        <f t="shared" si="2"/>
        <v>1.2501813035652942</v>
      </c>
      <c r="N24" s="234">
        <f>E24-'січень 17'!E24</f>
        <v>170</v>
      </c>
      <c r="O24" s="234">
        <f>F24-'січень 17'!F24</f>
        <v>558.7399999999998</v>
      </c>
      <c r="P24" s="198">
        <f t="shared" si="6"/>
        <v>388.7399999999998</v>
      </c>
      <c r="Q24" s="198">
        <f t="shared" si="9"/>
        <v>328.670588235294</v>
      </c>
      <c r="R24" s="106"/>
      <c r="S24" s="107"/>
      <c r="T24" s="145">
        <f t="shared" si="8"/>
        <v>16806.7</v>
      </c>
      <c r="U24" s="145"/>
    </row>
    <row r="25" spans="1:20" s="6" customFormat="1" ht="18">
      <c r="A25" s="8"/>
      <c r="B25" s="49" t="s">
        <v>75</v>
      </c>
      <c r="C25" s="122"/>
      <c r="D25" s="169">
        <v>820</v>
      </c>
      <c r="E25" s="169">
        <v>50.8</v>
      </c>
      <c r="F25" s="170">
        <v>79.17</v>
      </c>
      <c r="G25" s="169">
        <f t="shared" si="0"/>
        <v>28.370000000000005</v>
      </c>
      <c r="H25" s="171">
        <f t="shared" si="3"/>
        <v>155.8464566929134</v>
      </c>
      <c r="I25" s="172">
        <f t="shared" si="4"/>
        <v>-740.83</v>
      </c>
      <c r="J25" s="172">
        <f t="shared" si="5"/>
        <v>9.654878048780487</v>
      </c>
      <c r="K25" s="172">
        <v>174.21</v>
      </c>
      <c r="L25" s="172">
        <f t="shared" si="1"/>
        <v>-95.04</v>
      </c>
      <c r="M25" s="210">
        <f t="shared" si="2"/>
        <v>0.4544515240227312</v>
      </c>
      <c r="N25" s="193">
        <f>E25-'січень 17'!E25</f>
        <v>5</v>
      </c>
      <c r="O25" s="177">
        <f>F25-'січень 17'!F25</f>
        <v>27.090000000000003</v>
      </c>
      <c r="P25" s="175">
        <f t="shared" si="6"/>
        <v>22.090000000000003</v>
      </c>
      <c r="Q25" s="172">
        <f>O25/N25*100</f>
        <v>541.8000000000001</v>
      </c>
      <c r="R25" s="106"/>
      <c r="S25" s="107"/>
      <c r="T25" s="145">
        <f t="shared" si="8"/>
        <v>769.2</v>
      </c>
    </row>
    <row r="26" spans="1:20" s="6" customFormat="1" ht="18">
      <c r="A26" s="8"/>
      <c r="B26" s="49" t="s">
        <v>76</v>
      </c>
      <c r="C26" s="122"/>
      <c r="D26" s="169">
        <v>182992</v>
      </c>
      <c r="E26" s="169">
        <v>27655</v>
      </c>
      <c r="F26" s="170">
        <v>26967.67</v>
      </c>
      <c r="G26" s="169">
        <f t="shared" si="0"/>
        <v>-687.3300000000017</v>
      </c>
      <c r="H26" s="171">
        <f t="shared" si="3"/>
        <v>97.51462664979208</v>
      </c>
      <c r="I26" s="172">
        <f t="shared" si="4"/>
        <v>-156024.33000000002</v>
      </c>
      <c r="J26" s="172">
        <f t="shared" si="5"/>
        <v>14.73707593774591</v>
      </c>
      <c r="K26" s="173">
        <v>21757.07</v>
      </c>
      <c r="L26" s="173">
        <f t="shared" si="1"/>
        <v>5210.5999999999985</v>
      </c>
      <c r="M26" s="209">
        <f t="shared" si="2"/>
        <v>1.2394899680885338</v>
      </c>
      <c r="N26" s="193">
        <f>E26-'січень 17'!E26</f>
        <v>15105</v>
      </c>
      <c r="O26" s="177">
        <f>F26-'січень 17'!F26</f>
        <v>14319.079999999998</v>
      </c>
      <c r="P26" s="175">
        <f t="shared" si="6"/>
        <v>-785.9200000000019</v>
      </c>
      <c r="Q26" s="172">
        <f>O26/N26*100</f>
        <v>94.79695465077788</v>
      </c>
      <c r="R26" s="106"/>
      <c r="S26" s="107"/>
      <c r="T26" s="145">
        <f t="shared" si="8"/>
        <v>155337</v>
      </c>
    </row>
    <row r="27" spans="1:20" s="6" customFormat="1" ht="18" hidden="1">
      <c r="A27" s="8"/>
      <c r="B27" s="194" t="s">
        <v>109</v>
      </c>
      <c r="C27" s="195"/>
      <c r="D27" s="196">
        <v>57533</v>
      </c>
      <c r="E27" s="196">
        <v>8180</v>
      </c>
      <c r="F27" s="161">
        <v>8859.21</v>
      </c>
      <c r="G27" s="196">
        <f t="shared" si="0"/>
        <v>679.2099999999991</v>
      </c>
      <c r="H27" s="197">
        <f t="shared" si="3"/>
        <v>108.30330073349631</v>
      </c>
      <c r="I27" s="198">
        <f t="shared" si="4"/>
        <v>-48673.79</v>
      </c>
      <c r="J27" s="198">
        <f t="shared" si="5"/>
        <v>15.398484348113255</v>
      </c>
      <c r="K27" s="198">
        <v>6708.33</v>
      </c>
      <c r="L27" s="198">
        <f t="shared" si="1"/>
        <v>2150.879999999999</v>
      </c>
      <c r="M27" s="226">
        <f t="shared" si="2"/>
        <v>1.3206282338525384</v>
      </c>
      <c r="N27" s="234">
        <f>E27-'січень 17'!E27</f>
        <v>4650</v>
      </c>
      <c r="O27" s="234">
        <f>F27-'січень 17'!F27</f>
        <v>5059.3499999999985</v>
      </c>
      <c r="P27" s="198">
        <f t="shared" si="6"/>
        <v>409.34999999999854</v>
      </c>
      <c r="Q27" s="198">
        <f>O27/N27*100</f>
        <v>108.8032258064516</v>
      </c>
      <c r="R27" s="106"/>
      <c r="S27" s="107"/>
      <c r="T27" s="145">
        <f t="shared" si="8"/>
        <v>49353</v>
      </c>
    </row>
    <row r="28" spans="1:20" s="6" customFormat="1" ht="18" hidden="1">
      <c r="A28" s="8"/>
      <c r="B28" s="194" t="s">
        <v>110</v>
      </c>
      <c r="C28" s="195"/>
      <c r="D28" s="196">
        <v>125459</v>
      </c>
      <c r="E28" s="196">
        <v>19475</v>
      </c>
      <c r="F28" s="161">
        <v>18108.46</v>
      </c>
      <c r="G28" s="196">
        <f t="shared" si="0"/>
        <v>-1366.5400000000009</v>
      </c>
      <c r="H28" s="197">
        <f t="shared" si="3"/>
        <v>92.98310654685493</v>
      </c>
      <c r="I28" s="198">
        <f t="shared" si="4"/>
        <v>-107350.54000000001</v>
      </c>
      <c r="J28" s="198">
        <f t="shared" si="5"/>
        <v>14.433767206816569</v>
      </c>
      <c r="K28" s="198">
        <v>15048.75</v>
      </c>
      <c r="L28" s="198">
        <f t="shared" si="1"/>
        <v>3059.709999999999</v>
      </c>
      <c r="M28" s="226">
        <f t="shared" si="2"/>
        <v>1.2033198770662015</v>
      </c>
      <c r="N28" s="234">
        <f>E28-'січень 17'!E28</f>
        <v>10455</v>
      </c>
      <c r="O28" s="234">
        <f>F28-'січень 17'!F28</f>
        <v>9259.73</v>
      </c>
      <c r="P28" s="198">
        <f t="shared" si="6"/>
        <v>-1195.2700000000004</v>
      </c>
      <c r="Q28" s="198">
        <f>O28/N28*100</f>
        <v>88.56747967479674</v>
      </c>
      <c r="R28" s="106"/>
      <c r="S28" s="107"/>
      <c r="T28" s="145">
        <f t="shared" si="8"/>
        <v>105984</v>
      </c>
    </row>
    <row r="29" spans="1:20" s="6" customFormat="1" ht="18">
      <c r="A29" s="8"/>
      <c r="B29" s="223" t="s">
        <v>112</v>
      </c>
      <c r="C29" s="220">
        <v>18020000</v>
      </c>
      <c r="D29" s="160">
        <v>0</v>
      </c>
      <c r="E29" s="160">
        <v>0</v>
      </c>
      <c r="F29" s="197">
        <v>0.2</v>
      </c>
      <c r="G29" s="148">
        <f t="shared" si="0"/>
        <v>0.2</v>
      </c>
      <c r="H29" s="155"/>
      <c r="I29" s="156">
        <f t="shared" si="4"/>
        <v>0.2</v>
      </c>
      <c r="J29" s="156"/>
      <c r="K29" s="165">
        <v>0</v>
      </c>
      <c r="L29" s="156">
        <f t="shared" si="1"/>
        <v>0.2</v>
      </c>
      <c r="M29" s="208"/>
      <c r="N29" s="155">
        <f>E29-'січень 17'!E29</f>
        <v>0</v>
      </c>
      <c r="O29" s="158">
        <f>F29-'січень 17'!F29</f>
        <v>0</v>
      </c>
      <c r="P29" s="159">
        <f t="shared" si="6"/>
        <v>0</v>
      </c>
      <c r="Q29" s="156"/>
      <c r="R29" s="106"/>
      <c r="S29" s="107"/>
      <c r="T29" s="145">
        <f t="shared" si="8"/>
        <v>0</v>
      </c>
    </row>
    <row r="30" spans="1:20" s="6" customFormat="1" ht="18">
      <c r="A30" s="8"/>
      <c r="B30" s="43" t="s">
        <v>82</v>
      </c>
      <c r="C30" s="113">
        <v>18030000</v>
      </c>
      <c r="D30" s="148">
        <v>115</v>
      </c>
      <c r="E30" s="148">
        <v>15</v>
      </c>
      <c r="F30" s="154">
        <v>34.2</v>
      </c>
      <c r="G30" s="148">
        <f t="shared" si="0"/>
        <v>19.200000000000003</v>
      </c>
      <c r="H30" s="155">
        <f t="shared" si="3"/>
        <v>228.00000000000003</v>
      </c>
      <c r="I30" s="156">
        <f t="shared" si="4"/>
        <v>-80.8</v>
      </c>
      <c r="J30" s="156">
        <f t="shared" si="5"/>
        <v>29.739130434782613</v>
      </c>
      <c r="K30" s="156">
        <v>20.81</v>
      </c>
      <c r="L30" s="156">
        <f t="shared" si="1"/>
        <v>13.390000000000004</v>
      </c>
      <c r="M30" s="208">
        <f>F30/K30</f>
        <v>1.6434406535319561</v>
      </c>
      <c r="N30" s="155">
        <f>E30-'січень 17'!E30</f>
        <v>12</v>
      </c>
      <c r="O30" s="158">
        <f>F30-'січень 17'!F30</f>
        <v>21.14</v>
      </c>
      <c r="P30" s="159">
        <f t="shared" si="6"/>
        <v>9.14</v>
      </c>
      <c r="Q30" s="156">
        <f>O30/N30*100</f>
        <v>176.16666666666669</v>
      </c>
      <c r="R30" s="106"/>
      <c r="S30" s="107"/>
      <c r="T30" s="145">
        <f t="shared" si="8"/>
        <v>100</v>
      </c>
    </row>
    <row r="31" spans="1:20" s="6" customFormat="1" ht="30.75">
      <c r="A31" s="8"/>
      <c r="B31" s="223" t="s">
        <v>83</v>
      </c>
      <c r="C31" s="113">
        <v>18040000</v>
      </c>
      <c r="D31" s="148"/>
      <c r="E31" s="148"/>
      <c r="F31" s="154">
        <v>-10.76</v>
      </c>
      <c r="G31" s="148">
        <f t="shared" si="0"/>
        <v>-10.76</v>
      </c>
      <c r="H31" s="155"/>
      <c r="I31" s="156">
        <f t="shared" si="4"/>
        <v>-10.76</v>
      </c>
      <c r="J31" s="156"/>
      <c r="K31" s="156">
        <v>-52.93</v>
      </c>
      <c r="L31" s="156">
        <f t="shared" si="1"/>
        <v>42.17</v>
      </c>
      <c r="M31" s="208">
        <f>F31/K31</f>
        <v>0.20328736066502928</v>
      </c>
      <c r="N31" s="155">
        <f>E31-'січень 17'!E31</f>
        <v>0</v>
      </c>
      <c r="O31" s="158">
        <f>F31-'січень 17'!F31</f>
        <v>-7.83</v>
      </c>
      <c r="P31" s="159">
        <f t="shared" si="6"/>
        <v>-7.83</v>
      </c>
      <c r="Q31" s="156"/>
      <c r="R31" s="106"/>
      <c r="S31" s="107"/>
      <c r="T31" s="145">
        <f t="shared" si="8"/>
        <v>0</v>
      </c>
    </row>
    <row r="32" spans="1:20" s="6" customFormat="1" ht="18">
      <c r="A32" s="8"/>
      <c r="B32" s="43" t="s">
        <v>84</v>
      </c>
      <c r="C32" s="113">
        <v>18050000</v>
      </c>
      <c r="D32" s="160">
        <v>194394.1</v>
      </c>
      <c r="E32" s="160">
        <v>43828.7</v>
      </c>
      <c r="F32" s="161">
        <v>47628.56</v>
      </c>
      <c r="G32" s="160">
        <f t="shared" si="0"/>
        <v>3799.8600000000006</v>
      </c>
      <c r="H32" s="162">
        <f t="shared" si="3"/>
        <v>108.66979855665353</v>
      </c>
      <c r="I32" s="163">
        <f t="shared" si="4"/>
        <v>-146765.54</v>
      </c>
      <c r="J32" s="163">
        <f t="shared" si="5"/>
        <v>24.501031667113352</v>
      </c>
      <c r="K32" s="176">
        <v>33594.51</v>
      </c>
      <c r="L32" s="176">
        <f>F32-K32</f>
        <v>14034.049999999996</v>
      </c>
      <c r="M32" s="224">
        <f>F32/K32</f>
        <v>1.4177483166148277</v>
      </c>
      <c r="N32" s="155">
        <f>E32-'січень 17'!E32</f>
        <v>23609.999999999996</v>
      </c>
      <c r="O32" s="158">
        <f>F32-'січень 17'!F32</f>
        <v>26978.879999999997</v>
      </c>
      <c r="P32" s="165">
        <f t="shared" si="6"/>
        <v>3368.880000000001</v>
      </c>
      <c r="Q32" s="163">
        <f>O32/N32*100</f>
        <v>114.26886912325287</v>
      </c>
      <c r="R32" s="106"/>
      <c r="S32" s="107"/>
      <c r="T32" s="145">
        <f t="shared" si="8"/>
        <v>150565.40000000002</v>
      </c>
    </row>
    <row r="33" spans="1:20" s="6" customFormat="1" ht="15" hidden="1">
      <c r="A33" s="8"/>
      <c r="B33" s="49" t="s">
        <v>90</v>
      </c>
      <c r="C33" s="101">
        <v>18050200</v>
      </c>
      <c r="D33" s="102">
        <v>0</v>
      </c>
      <c r="E33" s="102">
        <v>0</v>
      </c>
      <c r="F33" s="138">
        <v>0</v>
      </c>
      <c r="G33" s="102">
        <f t="shared" si="0"/>
        <v>0</v>
      </c>
      <c r="H33" s="104"/>
      <c r="I33" s="103">
        <f t="shared" si="4"/>
        <v>0</v>
      </c>
      <c r="J33" s="103"/>
      <c r="K33" s="126">
        <v>0.07</v>
      </c>
      <c r="L33" s="126">
        <f t="shared" si="1"/>
        <v>-0.07</v>
      </c>
      <c r="M33" s="214">
        <f aca="true" t="shared" si="10" ref="M33:M39">F33/K33</f>
        <v>0</v>
      </c>
      <c r="N33" s="104">
        <f>E33-'січень 17'!E33</f>
        <v>0</v>
      </c>
      <c r="O33" s="142">
        <f>F33-'січень 17'!F33</f>
        <v>0</v>
      </c>
      <c r="P33" s="105">
        <f t="shared" si="6"/>
        <v>0</v>
      </c>
      <c r="Q33" s="103"/>
      <c r="R33" s="106"/>
      <c r="S33" s="107"/>
      <c r="T33" s="145">
        <f t="shared" si="8"/>
        <v>0</v>
      </c>
    </row>
    <row r="34" spans="1:20" s="6" customFormat="1" ht="15" hidden="1">
      <c r="A34" s="8"/>
      <c r="B34" s="49" t="s">
        <v>91</v>
      </c>
      <c r="C34" s="101">
        <v>18050300</v>
      </c>
      <c r="D34" s="102">
        <v>41000</v>
      </c>
      <c r="E34" s="102">
        <v>9110</v>
      </c>
      <c r="F34" s="138">
        <v>9755.95</v>
      </c>
      <c r="G34" s="102">
        <f t="shared" si="0"/>
        <v>645.9500000000007</v>
      </c>
      <c r="H34" s="104">
        <f t="shared" si="3"/>
        <v>107.09055982436884</v>
      </c>
      <c r="I34" s="103">
        <f t="shared" si="4"/>
        <v>-31244.05</v>
      </c>
      <c r="J34" s="103">
        <f t="shared" si="5"/>
        <v>23.795</v>
      </c>
      <c r="K34" s="126">
        <v>8679.27</v>
      </c>
      <c r="L34" s="126">
        <f t="shared" si="1"/>
        <v>1076.6800000000003</v>
      </c>
      <c r="M34" s="214">
        <f t="shared" si="10"/>
        <v>1.1240519075913067</v>
      </c>
      <c r="N34" s="104">
        <f>E34-'січень 17'!E34</f>
        <v>5610</v>
      </c>
      <c r="O34" s="142">
        <f>F34-'січень 17'!F34</f>
        <v>6170.92</v>
      </c>
      <c r="P34" s="105">
        <f t="shared" si="6"/>
        <v>560.9200000000001</v>
      </c>
      <c r="Q34" s="103">
        <f>O34/N34*100</f>
        <v>109.99857397504455</v>
      </c>
      <c r="R34" s="106"/>
      <c r="S34" s="107"/>
      <c r="T34" s="145">
        <f t="shared" si="8"/>
        <v>31890</v>
      </c>
    </row>
    <row r="35" spans="1:20" s="6" customFormat="1" ht="15" hidden="1">
      <c r="A35" s="8"/>
      <c r="B35" s="49" t="s">
        <v>92</v>
      </c>
      <c r="C35" s="101">
        <v>18050400</v>
      </c>
      <c r="D35" s="102">
        <v>153339.1</v>
      </c>
      <c r="E35" s="102">
        <v>34700</v>
      </c>
      <c r="F35" s="138">
        <v>37856.5</v>
      </c>
      <c r="G35" s="102">
        <f t="shared" si="0"/>
        <v>3156.5</v>
      </c>
      <c r="H35" s="104">
        <f t="shared" si="3"/>
        <v>109.0965417867435</v>
      </c>
      <c r="I35" s="103">
        <f t="shared" si="4"/>
        <v>-115482.6</v>
      </c>
      <c r="J35" s="103">
        <f t="shared" si="5"/>
        <v>24.688093252145084</v>
      </c>
      <c r="K35" s="126">
        <v>24907.67</v>
      </c>
      <c r="L35" s="126">
        <f t="shared" si="1"/>
        <v>12948.830000000002</v>
      </c>
      <c r="M35" s="214">
        <f t="shared" si="10"/>
        <v>1.5198731956863087</v>
      </c>
      <c r="N35" s="104">
        <f>E35-'січень 17'!E35</f>
        <v>18000</v>
      </c>
      <c r="O35" s="142">
        <f>F35-'січень 17'!F35</f>
        <v>20807.96</v>
      </c>
      <c r="P35" s="105">
        <f t="shared" si="6"/>
        <v>2807.959999999999</v>
      </c>
      <c r="Q35" s="103">
        <f>O35/N35*100</f>
        <v>115.59977777777777</v>
      </c>
      <c r="R35" s="106"/>
      <c r="S35" s="107"/>
      <c r="T35" s="145">
        <f t="shared" si="8"/>
        <v>118639.1</v>
      </c>
    </row>
    <row r="36" spans="1:20" s="6" customFormat="1" ht="15" hidden="1">
      <c r="A36" s="8"/>
      <c r="B36" s="49" t="s">
        <v>93</v>
      </c>
      <c r="C36" s="101">
        <v>18050500</v>
      </c>
      <c r="D36" s="102">
        <v>55</v>
      </c>
      <c r="E36" s="102">
        <v>18.7</v>
      </c>
      <c r="F36" s="138">
        <v>16.11</v>
      </c>
      <c r="G36" s="102">
        <f t="shared" si="0"/>
        <v>-2.59</v>
      </c>
      <c r="H36" s="104">
        <f t="shared" si="3"/>
        <v>86.14973262032085</v>
      </c>
      <c r="I36" s="103">
        <f t="shared" si="4"/>
        <v>-38.89</v>
      </c>
      <c r="J36" s="103">
        <f t="shared" si="5"/>
        <v>29.29090909090909</v>
      </c>
      <c r="K36" s="126">
        <v>7.49</v>
      </c>
      <c r="L36" s="126">
        <f t="shared" si="1"/>
        <v>8.62</v>
      </c>
      <c r="M36" s="214">
        <f t="shared" si="10"/>
        <v>2.15086782376502</v>
      </c>
      <c r="N36" s="104">
        <f>E36-'січень 17'!E36</f>
        <v>0</v>
      </c>
      <c r="O36" s="142">
        <f>F36-'січень 17'!F36</f>
        <v>0</v>
      </c>
      <c r="P36" s="105">
        <f t="shared" si="6"/>
        <v>0</v>
      </c>
      <c r="Q36" s="103"/>
      <c r="R36" s="106"/>
      <c r="S36" s="107"/>
      <c r="T36" s="145">
        <f t="shared" si="8"/>
        <v>36.3</v>
      </c>
    </row>
    <row r="37" spans="1:20" s="6" customFormat="1" ht="15" customHeight="1" hidden="1">
      <c r="A37" s="8"/>
      <c r="B37" s="229" t="s">
        <v>46</v>
      </c>
      <c r="C37" s="42">
        <v>19010000</v>
      </c>
      <c r="D37" s="33">
        <v>0</v>
      </c>
      <c r="E37" s="33">
        <v>0</v>
      </c>
      <c r="F37" s="33">
        <v>0</v>
      </c>
      <c r="G37" s="33">
        <f t="shared" si="0"/>
        <v>0</v>
      </c>
      <c r="H37" s="29"/>
      <c r="I37" s="36">
        <f t="shared" si="4"/>
        <v>0</v>
      </c>
      <c r="J37" s="36"/>
      <c r="K37" s="118">
        <v>0</v>
      </c>
      <c r="L37" s="118">
        <f t="shared" si="1"/>
        <v>0</v>
      </c>
      <c r="M37" s="215" t="e">
        <f t="shared" si="10"/>
        <v>#DIV/0!</v>
      </c>
      <c r="N37" s="155">
        <f>E37-'січень 17'!E37</f>
        <v>0</v>
      </c>
      <c r="O37" s="158">
        <f>F37-'січень 17'!F37</f>
        <v>0</v>
      </c>
      <c r="P37" s="35">
        <f t="shared" si="6"/>
        <v>0</v>
      </c>
      <c r="Q37" s="36"/>
      <c r="R37" s="106"/>
      <c r="S37" s="107"/>
      <c r="T37" s="145">
        <f t="shared" si="8"/>
        <v>0</v>
      </c>
    </row>
    <row r="38" spans="1:20" s="6" customFormat="1" ht="17.25">
      <c r="A38" s="7"/>
      <c r="B38" s="16" t="s">
        <v>12</v>
      </c>
      <c r="C38" s="69">
        <v>20000000</v>
      </c>
      <c r="D38" s="149">
        <f>D39+D40+D41+D42+D43+D45+D47+D48+D49+D50+D51+D56+D57+D61+D44</f>
        <v>59025</v>
      </c>
      <c r="E38" s="149">
        <f>E39+E40+E41+E42+E43+E45+E47+E48+E49+E50+E51+E56+E57+E61+E44</f>
        <v>7774.1</v>
      </c>
      <c r="F38" s="149">
        <f>F39+F40+F41+F42+F43+F45+F47+F48+F49+F50+F51+F56+F57+F61+F44</f>
        <v>8691.629999999997</v>
      </c>
      <c r="G38" s="149">
        <f>G39+G40+G41+G42+G43+G45+G47+G48+G49+G50+G51+G56+G57+G61</f>
        <v>931.1299999999997</v>
      </c>
      <c r="H38" s="150">
        <f>F38/E38*100</f>
        <v>111.8023951325555</v>
      </c>
      <c r="I38" s="151">
        <f>F38-D38</f>
        <v>-50333.37</v>
      </c>
      <c r="J38" s="151">
        <f>F38/D38*100</f>
        <v>14.725336721728077</v>
      </c>
      <c r="K38" s="149">
        <v>4916.44</v>
      </c>
      <c r="L38" s="149">
        <f t="shared" si="1"/>
        <v>3775.189999999998</v>
      </c>
      <c r="M38" s="203">
        <f t="shared" si="10"/>
        <v>1.7678706543759302</v>
      </c>
      <c r="N38" s="149">
        <f>N39+N40+N41+N42+N43+N45+N47+N48+N49+N50+N51+N56+N57+N61+N44</f>
        <v>4786.3</v>
      </c>
      <c r="O38" s="149">
        <f>O39+O40+O41+O42+O43+O45+O47+O48+O49+O50+O51+O56+O57+O61+O44</f>
        <v>4463.9</v>
      </c>
      <c r="P38" s="149">
        <f>P39+P40+P41+P42+P43+P45+P47+P48+P49+P50+P51+P56+P57+P61</f>
        <v>-315.6000000000002</v>
      </c>
      <c r="Q38" s="149">
        <f>O38/N38*100</f>
        <v>93.26410797484486</v>
      </c>
      <c r="R38" s="15" t="e">
        <f>#N/A</f>
        <v>#N/A</v>
      </c>
      <c r="S38" s="15" t="e">
        <f>#N/A</f>
        <v>#N/A</v>
      </c>
      <c r="T38" s="145">
        <f t="shared" si="8"/>
        <v>51250.9</v>
      </c>
    </row>
    <row r="39" spans="1:20" s="6" customFormat="1" ht="46.5">
      <c r="A39" s="8"/>
      <c r="B39" s="43" t="s">
        <v>98</v>
      </c>
      <c r="C39" s="42">
        <v>21010301</v>
      </c>
      <c r="D39" s="148">
        <v>580</v>
      </c>
      <c r="E39" s="148">
        <v>80</v>
      </c>
      <c r="F39" s="154">
        <v>9.18</v>
      </c>
      <c r="G39" s="160">
        <f>F39-E39</f>
        <v>-70.82</v>
      </c>
      <c r="H39" s="162"/>
      <c r="I39" s="163">
        <f>F39-D39</f>
        <v>-570.82</v>
      </c>
      <c r="J39" s="163">
        <f>F39/D39*100</f>
        <v>1.582758620689655</v>
      </c>
      <c r="K39" s="163">
        <v>78.05</v>
      </c>
      <c r="L39" s="163">
        <f t="shared" si="1"/>
        <v>-68.87</v>
      </c>
      <c r="M39" s="216">
        <f t="shared" si="10"/>
        <v>0.11761691223574632</v>
      </c>
      <c r="N39" s="162">
        <f>E39-'січень 17'!E39</f>
        <v>80</v>
      </c>
      <c r="O39" s="166">
        <f>F39-'січень 17'!F39</f>
        <v>1</v>
      </c>
      <c r="P39" s="165">
        <f>O39-N39</f>
        <v>-79</v>
      </c>
      <c r="Q39" s="163">
        <f aca="true" t="shared" si="11" ref="Q39:Q62">O39/N39*100</f>
        <v>1.25</v>
      </c>
      <c r="R39" s="36"/>
      <c r="S39" s="93"/>
      <c r="T39" s="145">
        <f t="shared" si="8"/>
        <v>500</v>
      </c>
    </row>
    <row r="40" spans="1:20" s="6" customFormat="1" ht="30.75">
      <c r="A40" s="8"/>
      <c r="B40" s="128" t="s">
        <v>77</v>
      </c>
      <c r="C40" s="41">
        <v>21050000</v>
      </c>
      <c r="D40" s="148">
        <v>30000</v>
      </c>
      <c r="E40" s="148">
        <v>2500</v>
      </c>
      <c r="F40" s="154">
        <v>2116.32</v>
      </c>
      <c r="G40" s="160">
        <f aca="true" t="shared" si="12" ref="G40:G63">F40-E40</f>
        <v>-383.67999999999984</v>
      </c>
      <c r="H40" s="162"/>
      <c r="I40" s="163">
        <f aca="true" t="shared" si="13" ref="I40:I63">F40-D40</f>
        <v>-27883.68</v>
      </c>
      <c r="J40" s="163">
        <f>F40/D40*100</f>
        <v>7.054400000000001</v>
      </c>
      <c r="K40" s="163">
        <v>432.1</v>
      </c>
      <c r="L40" s="163">
        <f t="shared" si="1"/>
        <v>1684.2200000000003</v>
      </c>
      <c r="M40" s="216"/>
      <c r="N40" s="162">
        <f>E40-'січень 17'!E40</f>
        <v>2500</v>
      </c>
      <c r="O40" s="166">
        <f>F40-'січень 17'!F40</f>
        <v>2116.32</v>
      </c>
      <c r="P40" s="165">
        <f aca="true" t="shared" si="14" ref="P40:P63">O40-N40</f>
        <v>-383.67999999999984</v>
      </c>
      <c r="Q40" s="163">
        <f t="shared" si="11"/>
        <v>84.6528</v>
      </c>
      <c r="R40" s="36"/>
      <c r="S40" s="93"/>
      <c r="T40" s="145">
        <f t="shared" si="8"/>
        <v>27500</v>
      </c>
    </row>
    <row r="41" spans="1:20" s="6" customFormat="1" ht="18">
      <c r="A41" s="8"/>
      <c r="B41" s="128" t="s">
        <v>61</v>
      </c>
      <c r="C41" s="41">
        <v>21080500</v>
      </c>
      <c r="D41" s="148">
        <v>40</v>
      </c>
      <c r="E41" s="148">
        <v>16</v>
      </c>
      <c r="F41" s="154">
        <v>57.08</v>
      </c>
      <c r="G41" s="160">
        <f t="shared" si="12"/>
        <v>41.08</v>
      </c>
      <c r="H41" s="162">
        <f aca="true" t="shared" si="15" ref="H41:H62">F41/E41*100</f>
        <v>356.75</v>
      </c>
      <c r="I41" s="163">
        <f t="shared" si="13"/>
        <v>17.08</v>
      </c>
      <c r="J41" s="163">
        <f aca="true" t="shared" si="16" ref="J41:J62">F41/D41*100</f>
        <v>142.70000000000002</v>
      </c>
      <c r="K41" s="163">
        <v>24.38</v>
      </c>
      <c r="L41" s="163">
        <f t="shared" si="1"/>
        <v>32.7</v>
      </c>
      <c r="M41" s="216">
        <f aca="true" t="shared" si="17" ref="M41:M63">F41/K41</f>
        <v>2.3412633305988515</v>
      </c>
      <c r="N41" s="162">
        <f>E41-'січень 17'!E41</f>
        <v>6</v>
      </c>
      <c r="O41" s="166">
        <f>F41-'січень 17'!F41</f>
        <v>42.21</v>
      </c>
      <c r="P41" s="165">
        <f t="shared" si="14"/>
        <v>36.21</v>
      </c>
      <c r="Q41" s="163"/>
      <c r="R41" s="36"/>
      <c r="S41" s="93"/>
      <c r="T41" s="145">
        <f t="shared" si="8"/>
        <v>24</v>
      </c>
    </row>
    <row r="42" spans="1:20" s="6" customFormat="1" ht="31.5">
      <c r="A42" s="8"/>
      <c r="B42" s="235" t="s">
        <v>39</v>
      </c>
      <c r="C42" s="70">
        <v>21080900</v>
      </c>
      <c r="D42" s="148">
        <f>6.5-6.5</f>
        <v>0</v>
      </c>
      <c r="E42" s="148">
        <v>0</v>
      </c>
      <c r="F42" s="154">
        <v>2.03</v>
      </c>
      <c r="G42" s="160">
        <f t="shared" si="12"/>
        <v>2.03</v>
      </c>
      <c r="H42" s="162"/>
      <c r="I42" s="163">
        <f t="shared" si="13"/>
        <v>2.03</v>
      </c>
      <c r="J42" s="163"/>
      <c r="K42" s="163">
        <v>1.02</v>
      </c>
      <c r="L42" s="163">
        <f t="shared" si="1"/>
        <v>1.0099999999999998</v>
      </c>
      <c r="M42" s="216">
        <f t="shared" si="17"/>
        <v>1.9901960784313724</v>
      </c>
      <c r="N42" s="162">
        <f>E42-'січень 17'!E42</f>
        <v>0</v>
      </c>
      <c r="O42" s="166">
        <f>F42-'січень 17'!F42</f>
        <v>2.03</v>
      </c>
      <c r="P42" s="165">
        <f t="shared" si="14"/>
        <v>2.03</v>
      </c>
      <c r="Q42" s="163"/>
      <c r="R42" s="36"/>
      <c r="S42" s="93"/>
      <c r="T42" s="145">
        <f t="shared" si="8"/>
        <v>0</v>
      </c>
    </row>
    <row r="43" spans="1:20" s="6" customFormat="1" ht="18">
      <c r="A43" s="8"/>
      <c r="B43" s="129" t="s">
        <v>16</v>
      </c>
      <c r="C43" s="71">
        <v>21081100</v>
      </c>
      <c r="D43" s="148">
        <v>260</v>
      </c>
      <c r="E43" s="148">
        <v>40</v>
      </c>
      <c r="F43" s="154">
        <v>82.08</v>
      </c>
      <c r="G43" s="160">
        <f t="shared" si="12"/>
        <v>42.08</v>
      </c>
      <c r="H43" s="162">
        <f t="shared" si="15"/>
        <v>205.20000000000002</v>
      </c>
      <c r="I43" s="163">
        <f t="shared" si="13"/>
        <v>-177.92000000000002</v>
      </c>
      <c r="J43" s="163">
        <f t="shared" si="16"/>
        <v>31.569230769230767</v>
      </c>
      <c r="K43" s="163">
        <v>3.65</v>
      </c>
      <c r="L43" s="163">
        <f t="shared" si="1"/>
        <v>78.42999999999999</v>
      </c>
      <c r="M43" s="216">
        <f t="shared" si="17"/>
        <v>22.487671232876714</v>
      </c>
      <c r="N43" s="162">
        <f>E43-'січень 17'!E43</f>
        <v>20</v>
      </c>
      <c r="O43" s="166">
        <f>F43-'січень 17'!F43</f>
        <v>70.91</v>
      </c>
      <c r="P43" s="165">
        <f t="shared" si="14"/>
        <v>50.91</v>
      </c>
      <c r="Q43" s="163">
        <f t="shared" si="11"/>
        <v>354.54999999999995</v>
      </c>
      <c r="R43" s="36"/>
      <c r="S43" s="93"/>
      <c r="T43" s="145">
        <f t="shared" si="8"/>
        <v>220</v>
      </c>
    </row>
    <row r="44" spans="1:20" s="6" customFormat="1" ht="46.5">
      <c r="A44" s="8"/>
      <c r="B44" s="129" t="s">
        <v>80</v>
      </c>
      <c r="C44" s="71">
        <v>21081500</v>
      </c>
      <c r="D44" s="148">
        <v>97.5</v>
      </c>
      <c r="E44" s="148">
        <v>13.6</v>
      </c>
      <c r="F44" s="154">
        <v>0</v>
      </c>
      <c r="G44" s="160">
        <f t="shared" si="12"/>
        <v>-13.6</v>
      </c>
      <c r="H44" s="162"/>
      <c r="I44" s="163">
        <f t="shared" si="13"/>
        <v>-97.5</v>
      </c>
      <c r="J44" s="163"/>
      <c r="K44" s="163">
        <v>0</v>
      </c>
      <c r="L44" s="163">
        <f t="shared" si="1"/>
        <v>0</v>
      </c>
      <c r="M44" s="216"/>
      <c r="N44" s="162">
        <f>E44-'січень 17'!E44</f>
        <v>6.8</v>
      </c>
      <c r="O44" s="166">
        <f>F44-'січень 17'!F44</f>
        <v>0</v>
      </c>
      <c r="P44" s="165"/>
      <c r="Q44" s="163"/>
      <c r="R44" s="36"/>
      <c r="S44" s="93"/>
      <c r="T44" s="145">
        <f t="shared" si="8"/>
        <v>83.9</v>
      </c>
    </row>
    <row r="45" spans="1:20" s="6" customFormat="1" ht="30.75">
      <c r="A45" s="8"/>
      <c r="B45" s="146" t="s">
        <v>103</v>
      </c>
      <c r="C45" s="48">
        <v>22010300</v>
      </c>
      <c r="D45" s="148">
        <v>730</v>
      </c>
      <c r="E45" s="148">
        <v>120</v>
      </c>
      <c r="F45" s="154">
        <v>192.39</v>
      </c>
      <c r="G45" s="160">
        <f t="shared" si="12"/>
        <v>72.38999999999999</v>
      </c>
      <c r="H45" s="162">
        <f t="shared" si="15"/>
        <v>160.325</v>
      </c>
      <c r="I45" s="163">
        <f t="shared" si="13"/>
        <v>-537.61</v>
      </c>
      <c r="J45" s="163">
        <f t="shared" si="16"/>
        <v>26.35479452054794</v>
      </c>
      <c r="K45" s="163">
        <v>0</v>
      </c>
      <c r="L45" s="163">
        <f t="shared" si="1"/>
        <v>192.39</v>
      </c>
      <c r="M45" s="216"/>
      <c r="N45" s="162">
        <f>E45-'січень 17'!E45</f>
        <v>60</v>
      </c>
      <c r="O45" s="166">
        <f>F45-'січень 17'!F45</f>
        <v>102.93999999999998</v>
      </c>
      <c r="P45" s="165">
        <f t="shared" si="14"/>
        <v>42.93999999999998</v>
      </c>
      <c r="Q45" s="163">
        <f t="shared" si="11"/>
        <v>171.56666666666663</v>
      </c>
      <c r="R45" s="36"/>
      <c r="S45" s="93"/>
      <c r="T45" s="145">
        <f t="shared" si="8"/>
        <v>610</v>
      </c>
    </row>
    <row r="46" spans="1:20" s="6" customFormat="1" ht="18" hidden="1">
      <c r="A46" s="8"/>
      <c r="B46" s="129"/>
      <c r="C46" s="48"/>
      <c r="D46" s="148"/>
      <c r="E46" s="148"/>
      <c r="F46" s="154"/>
      <c r="G46" s="160"/>
      <c r="H46" s="162"/>
      <c r="I46" s="163"/>
      <c r="J46" s="163"/>
      <c r="K46" s="163"/>
      <c r="L46" s="163">
        <f t="shared" si="1"/>
        <v>0</v>
      </c>
      <c r="M46" s="216" t="e">
        <f t="shared" si="17"/>
        <v>#DIV/0!</v>
      </c>
      <c r="N46" s="162">
        <f>E46-'січень 17'!E46</f>
        <v>0</v>
      </c>
      <c r="O46" s="166">
        <f>F46-'січень 17'!F46</f>
        <v>0</v>
      </c>
      <c r="P46" s="165"/>
      <c r="Q46" s="163"/>
      <c r="R46" s="36"/>
      <c r="S46" s="93"/>
      <c r="T46" s="145">
        <f t="shared" si="8"/>
        <v>0</v>
      </c>
    </row>
    <row r="47" spans="1:20" s="6" customFormat="1" ht="18">
      <c r="A47" s="8"/>
      <c r="B47" s="32" t="s">
        <v>78</v>
      </c>
      <c r="C47" s="71">
        <v>22012500</v>
      </c>
      <c r="D47" s="148">
        <v>11000</v>
      </c>
      <c r="E47" s="148">
        <v>1400</v>
      </c>
      <c r="F47" s="154">
        <v>2143.72</v>
      </c>
      <c r="G47" s="160">
        <f t="shared" si="12"/>
        <v>743.7199999999998</v>
      </c>
      <c r="H47" s="162">
        <f t="shared" si="15"/>
        <v>153.12285714285713</v>
      </c>
      <c r="I47" s="163">
        <f t="shared" si="13"/>
        <v>-8856.28</v>
      </c>
      <c r="J47" s="163">
        <f t="shared" si="16"/>
        <v>19.488363636363633</v>
      </c>
      <c r="K47" s="163">
        <v>1351.17</v>
      </c>
      <c r="L47" s="163">
        <f t="shared" si="1"/>
        <v>792.5499999999997</v>
      </c>
      <c r="M47" s="216">
        <f t="shared" si="17"/>
        <v>1.586565717119237</v>
      </c>
      <c r="N47" s="162">
        <f>E47-'січень 17'!E47</f>
        <v>800</v>
      </c>
      <c r="O47" s="166">
        <f>F47-'січень 17'!F47</f>
        <v>1091.1599999999999</v>
      </c>
      <c r="P47" s="165">
        <f t="shared" si="14"/>
        <v>291.15999999999985</v>
      </c>
      <c r="Q47" s="163">
        <f t="shared" si="11"/>
        <v>136.39499999999998</v>
      </c>
      <c r="R47" s="36"/>
      <c r="S47" s="93"/>
      <c r="T47" s="145">
        <f t="shared" si="8"/>
        <v>9600</v>
      </c>
    </row>
    <row r="48" spans="1:20" s="6" customFormat="1" ht="31.5">
      <c r="A48" s="8"/>
      <c r="B48" s="147" t="s">
        <v>99</v>
      </c>
      <c r="C48" s="71">
        <v>22012600</v>
      </c>
      <c r="D48" s="148">
        <v>310</v>
      </c>
      <c r="E48" s="148">
        <v>50</v>
      </c>
      <c r="F48" s="154">
        <v>90.44</v>
      </c>
      <c r="G48" s="160">
        <f t="shared" si="12"/>
        <v>40.44</v>
      </c>
      <c r="H48" s="162">
        <f t="shared" si="15"/>
        <v>180.88</v>
      </c>
      <c r="I48" s="163">
        <f t="shared" si="13"/>
        <v>-219.56</v>
      </c>
      <c r="J48" s="163">
        <f t="shared" si="16"/>
        <v>29.174193548387095</v>
      </c>
      <c r="K48" s="163">
        <v>1.03</v>
      </c>
      <c r="L48" s="163">
        <f t="shared" si="1"/>
        <v>89.41</v>
      </c>
      <c r="M48" s="216"/>
      <c r="N48" s="162">
        <f>E48-'січень 17'!E48</f>
        <v>25</v>
      </c>
      <c r="O48" s="166">
        <f>F48-'січень 17'!F48</f>
        <v>45.91</v>
      </c>
      <c r="P48" s="165">
        <f t="shared" si="14"/>
        <v>20.909999999999997</v>
      </c>
      <c r="Q48" s="163"/>
      <c r="R48" s="36"/>
      <c r="S48" s="93"/>
      <c r="T48" s="145">
        <f t="shared" si="8"/>
        <v>260</v>
      </c>
    </row>
    <row r="49" spans="1:20" s="6" customFormat="1" ht="31.5">
      <c r="A49" s="8"/>
      <c r="B49" s="147" t="s">
        <v>104</v>
      </c>
      <c r="C49" s="71">
        <v>22012900</v>
      </c>
      <c r="D49" s="148">
        <v>20</v>
      </c>
      <c r="E49" s="148">
        <v>2</v>
      </c>
      <c r="F49" s="154">
        <v>0</v>
      </c>
      <c r="G49" s="160">
        <f t="shared" si="12"/>
        <v>-2</v>
      </c>
      <c r="H49" s="162">
        <f t="shared" si="15"/>
        <v>0</v>
      </c>
      <c r="I49" s="163">
        <f t="shared" si="13"/>
        <v>-20</v>
      </c>
      <c r="J49" s="163">
        <f t="shared" si="16"/>
        <v>0</v>
      </c>
      <c r="K49" s="163">
        <v>0</v>
      </c>
      <c r="L49" s="163">
        <f t="shared" si="1"/>
        <v>0</v>
      </c>
      <c r="M49" s="216"/>
      <c r="N49" s="162">
        <f>E49-'січень 17'!E49</f>
        <v>1</v>
      </c>
      <c r="O49" s="166">
        <f>F49-'січень 17'!F49</f>
        <v>0</v>
      </c>
      <c r="P49" s="165">
        <f t="shared" si="14"/>
        <v>-1</v>
      </c>
      <c r="Q49" s="163">
        <f t="shared" si="11"/>
        <v>0</v>
      </c>
      <c r="R49" s="36"/>
      <c r="S49" s="93"/>
      <c r="T49" s="145">
        <f t="shared" si="8"/>
        <v>18</v>
      </c>
    </row>
    <row r="50" spans="1:20" s="6" customFormat="1" ht="30.75">
      <c r="A50" s="8"/>
      <c r="B50" s="129" t="s">
        <v>14</v>
      </c>
      <c r="C50" s="48">
        <v>22080400</v>
      </c>
      <c r="D50" s="148">
        <v>7275</v>
      </c>
      <c r="E50" s="148">
        <v>1200</v>
      </c>
      <c r="F50" s="154">
        <v>1163.35</v>
      </c>
      <c r="G50" s="160">
        <f t="shared" si="12"/>
        <v>-36.65000000000009</v>
      </c>
      <c r="H50" s="162">
        <f t="shared" si="15"/>
        <v>96.94583333333333</v>
      </c>
      <c r="I50" s="163">
        <f t="shared" si="13"/>
        <v>-6111.65</v>
      </c>
      <c r="J50" s="163">
        <f t="shared" si="16"/>
        <v>15.991065292096218</v>
      </c>
      <c r="K50" s="163">
        <v>1303.34</v>
      </c>
      <c r="L50" s="163">
        <f t="shared" si="1"/>
        <v>-139.99</v>
      </c>
      <c r="M50" s="216">
        <f t="shared" si="17"/>
        <v>0.8925913422437737</v>
      </c>
      <c r="N50" s="162">
        <f>E50-'січень 17'!E50</f>
        <v>600</v>
      </c>
      <c r="O50" s="166">
        <f>F50-'січень 17'!F50</f>
        <v>478.3599999999999</v>
      </c>
      <c r="P50" s="165">
        <f t="shared" si="14"/>
        <v>-121.6400000000001</v>
      </c>
      <c r="Q50" s="163">
        <f t="shared" si="11"/>
        <v>79.72666666666665</v>
      </c>
      <c r="R50" s="36"/>
      <c r="S50" s="93"/>
      <c r="T50" s="145">
        <f t="shared" si="8"/>
        <v>6075</v>
      </c>
    </row>
    <row r="51" spans="1:20" s="6" customFormat="1" ht="18">
      <c r="A51" s="8"/>
      <c r="B51" s="129" t="s">
        <v>15</v>
      </c>
      <c r="C51" s="42">
        <v>22090000</v>
      </c>
      <c r="D51" s="148">
        <v>1200</v>
      </c>
      <c r="E51" s="148">
        <v>140</v>
      </c>
      <c r="F51" s="154">
        <v>89.05</v>
      </c>
      <c r="G51" s="160">
        <f t="shared" si="12"/>
        <v>-50.95</v>
      </c>
      <c r="H51" s="162">
        <f t="shared" si="15"/>
        <v>63.607142857142854</v>
      </c>
      <c r="I51" s="163">
        <f t="shared" si="13"/>
        <v>-1110.95</v>
      </c>
      <c r="J51" s="163">
        <f t="shared" si="16"/>
        <v>7.420833333333333</v>
      </c>
      <c r="K51" s="163">
        <v>965.16</v>
      </c>
      <c r="L51" s="163">
        <f t="shared" si="1"/>
        <v>-876.11</v>
      </c>
      <c r="M51" s="216">
        <f t="shared" si="17"/>
        <v>0.09226449500600936</v>
      </c>
      <c r="N51" s="162">
        <f>E51-'січень 17'!E51</f>
        <v>85</v>
      </c>
      <c r="O51" s="166">
        <f>F51-'січень 17'!F51</f>
        <v>48.959999999999994</v>
      </c>
      <c r="P51" s="165">
        <f t="shared" si="14"/>
        <v>-36.040000000000006</v>
      </c>
      <c r="Q51" s="163">
        <f t="shared" si="11"/>
        <v>57.599999999999994</v>
      </c>
      <c r="R51" s="36"/>
      <c r="S51" s="93"/>
      <c r="T51" s="145">
        <f t="shared" si="8"/>
        <v>1060</v>
      </c>
    </row>
    <row r="52" spans="1:20" s="6" customFormat="1" ht="18" hidden="1">
      <c r="A52" s="8"/>
      <c r="B52" s="49" t="s">
        <v>97</v>
      </c>
      <c r="C52" s="122">
        <v>22090100</v>
      </c>
      <c r="D52" s="102">
        <v>998</v>
      </c>
      <c r="E52" s="102">
        <v>110</v>
      </c>
      <c r="F52" s="138">
        <v>73.71</v>
      </c>
      <c r="G52" s="33">
        <f t="shared" si="12"/>
        <v>-36.290000000000006</v>
      </c>
      <c r="H52" s="29">
        <f t="shared" si="15"/>
        <v>67.0090909090909</v>
      </c>
      <c r="I52" s="103">
        <f t="shared" si="13"/>
        <v>-924.29</v>
      </c>
      <c r="J52" s="103">
        <f t="shared" si="16"/>
        <v>7.385771543086171</v>
      </c>
      <c r="K52" s="103">
        <v>86.43</v>
      </c>
      <c r="L52" s="103">
        <f>F52-K52</f>
        <v>-12.720000000000013</v>
      </c>
      <c r="M52" s="108">
        <f t="shared" si="17"/>
        <v>0.8528288788615063</v>
      </c>
      <c r="N52" s="162">
        <f>E52-'січень 17'!E52</f>
        <v>70</v>
      </c>
      <c r="O52" s="166">
        <f>F52-'січень 17'!F52</f>
        <v>40.89999999999999</v>
      </c>
      <c r="P52" s="105">
        <f t="shared" si="14"/>
        <v>-29.10000000000001</v>
      </c>
      <c r="Q52" s="118">
        <f t="shared" si="11"/>
        <v>58.428571428571416</v>
      </c>
      <c r="R52" s="36"/>
      <c r="S52" s="93"/>
      <c r="T52" s="145">
        <f t="shared" si="8"/>
        <v>888</v>
      </c>
    </row>
    <row r="53" spans="1:20" s="6" customFormat="1" ht="18" hidden="1">
      <c r="A53" s="8"/>
      <c r="B53" s="49" t="s">
        <v>94</v>
      </c>
      <c r="C53" s="122">
        <v>22090200</v>
      </c>
      <c r="D53" s="102">
        <v>1</v>
      </c>
      <c r="E53" s="102">
        <v>0</v>
      </c>
      <c r="F53" s="138">
        <v>0.1</v>
      </c>
      <c r="G53" s="33">
        <f t="shared" si="12"/>
        <v>0.1</v>
      </c>
      <c r="H53" s="29" t="e">
        <f t="shared" si="15"/>
        <v>#DIV/0!</v>
      </c>
      <c r="I53" s="103">
        <f t="shared" si="13"/>
        <v>-0.9</v>
      </c>
      <c r="J53" s="103">
        <f t="shared" si="16"/>
        <v>10</v>
      </c>
      <c r="K53" s="103">
        <v>0.08</v>
      </c>
      <c r="L53" s="103">
        <f>F53-K53</f>
        <v>0.020000000000000004</v>
      </c>
      <c r="M53" s="108">
        <f t="shared" si="17"/>
        <v>1.25</v>
      </c>
      <c r="N53" s="162">
        <f>E53-'січень 17'!E53</f>
        <v>0</v>
      </c>
      <c r="O53" s="166">
        <f>F53-'січень 17'!F53</f>
        <v>0.09000000000000001</v>
      </c>
      <c r="P53" s="105">
        <f t="shared" si="14"/>
        <v>0.09000000000000001</v>
      </c>
      <c r="Q53" s="118" t="e">
        <f t="shared" si="11"/>
        <v>#DIV/0!</v>
      </c>
      <c r="R53" s="36"/>
      <c r="S53" s="93"/>
      <c r="T53" s="145">
        <f t="shared" si="8"/>
        <v>1</v>
      </c>
    </row>
    <row r="54" spans="1:20" s="6" customFormat="1" ht="18" hidden="1">
      <c r="A54" s="8"/>
      <c r="B54" s="49" t="s">
        <v>95</v>
      </c>
      <c r="C54" s="122">
        <v>22090300</v>
      </c>
      <c r="D54" s="102">
        <v>1</v>
      </c>
      <c r="E54" s="102">
        <v>0</v>
      </c>
      <c r="F54" s="138">
        <v>0</v>
      </c>
      <c r="G54" s="33">
        <f t="shared" si="12"/>
        <v>0</v>
      </c>
      <c r="H54" s="29"/>
      <c r="I54" s="103">
        <f t="shared" si="13"/>
        <v>-1</v>
      </c>
      <c r="J54" s="103">
        <f t="shared" si="16"/>
        <v>0</v>
      </c>
      <c r="K54" s="103">
        <v>0</v>
      </c>
      <c r="L54" s="103">
        <f>F54-K54</f>
        <v>0</v>
      </c>
      <c r="M54" s="108" t="e">
        <f t="shared" si="17"/>
        <v>#DIV/0!</v>
      </c>
      <c r="N54" s="162">
        <f>E54-'січень 17'!E54</f>
        <v>0</v>
      </c>
      <c r="O54" s="166">
        <f>F54-'січень 17'!F54</f>
        <v>0</v>
      </c>
      <c r="P54" s="105">
        <f t="shared" si="14"/>
        <v>0</v>
      </c>
      <c r="Q54" s="118"/>
      <c r="R54" s="36"/>
      <c r="S54" s="93"/>
      <c r="T54" s="145">
        <f t="shared" si="8"/>
        <v>1</v>
      </c>
    </row>
    <row r="55" spans="1:20" s="6" customFormat="1" ht="18" hidden="1">
      <c r="A55" s="8"/>
      <c r="B55" s="49" t="s">
        <v>96</v>
      </c>
      <c r="C55" s="122">
        <v>22090400</v>
      </c>
      <c r="D55" s="102">
        <v>200</v>
      </c>
      <c r="E55" s="102">
        <v>30</v>
      </c>
      <c r="F55" s="138">
        <v>15.24</v>
      </c>
      <c r="G55" s="33">
        <f t="shared" si="12"/>
        <v>-14.76</v>
      </c>
      <c r="H55" s="29">
        <f t="shared" si="15"/>
        <v>50.8</v>
      </c>
      <c r="I55" s="103">
        <f t="shared" si="13"/>
        <v>-184.76</v>
      </c>
      <c r="J55" s="103">
        <f t="shared" si="16"/>
        <v>7.62</v>
      </c>
      <c r="K55" s="103">
        <v>878.65</v>
      </c>
      <c r="L55" s="103">
        <f>F55-K55</f>
        <v>-863.41</v>
      </c>
      <c r="M55" s="108">
        <f t="shared" si="17"/>
        <v>0.01734479030330621</v>
      </c>
      <c r="N55" s="162">
        <f>E55-'січень 17'!E55</f>
        <v>15</v>
      </c>
      <c r="O55" s="166">
        <f>F55-'січень 17'!F55</f>
        <v>7.970000000000001</v>
      </c>
      <c r="P55" s="105">
        <f t="shared" si="14"/>
        <v>-7.029999999999999</v>
      </c>
      <c r="Q55" s="118">
        <f t="shared" si="11"/>
        <v>53.13333333333333</v>
      </c>
      <c r="R55" s="36"/>
      <c r="S55" s="93"/>
      <c r="T55" s="145">
        <f t="shared" si="8"/>
        <v>170</v>
      </c>
    </row>
    <row r="56" spans="1:20" s="6" customFormat="1" ht="46.5">
      <c r="A56" s="8"/>
      <c r="B56" s="13" t="s">
        <v>17</v>
      </c>
      <c r="C56" s="11" t="s">
        <v>18</v>
      </c>
      <c r="D56" s="148">
        <v>2.5</v>
      </c>
      <c r="E56" s="148">
        <v>2.5</v>
      </c>
      <c r="F56" s="154">
        <v>1.67</v>
      </c>
      <c r="G56" s="160">
        <f t="shared" si="12"/>
        <v>-0.8300000000000001</v>
      </c>
      <c r="H56" s="162"/>
      <c r="I56" s="163">
        <f t="shared" si="13"/>
        <v>-0.8300000000000001</v>
      </c>
      <c r="J56" s="163">
        <f t="shared" si="16"/>
        <v>66.8</v>
      </c>
      <c r="K56" s="163">
        <v>2.46</v>
      </c>
      <c r="L56" s="163">
        <f>F56-K56</f>
        <v>-0.79</v>
      </c>
      <c r="M56" s="216">
        <f t="shared" si="17"/>
        <v>0.6788617886178862</v>
      </c>
      <c r="N56" s="162">
        <f>E56-'січень 17'!E56</f>
        <v>2.5</v>
      </c>
      <c r="O56" s="166">
        <f>F56-'січень 17'!F56</f>
        <v>0</v>
      </c>
      <c r="P56" s="165">
        <f t="shared" si="14"/>
        <v>-2.5</v>
      </c>
      <c r="Q56" s="163"/>
      <c r="R56" s="36"/>
      <c r="S56" s="93"/>
      <c r="T56" s="145">
        <f t="shared" si="8"/>
        <v>0</v>
      </c>
    </row>
    <row r="57" spans="1:20" s="6" customFormat="1" ht="15.75" customHeight="1">
      <c r="A57" s="8"/>
      <c r="B57" s="130" t="s">
        <v>13</v>
      </c>
      <c r="C57" s="11" t="s">
        <v>19</v>
      </c>
      <c r="D57" s="148">
        <v>7350</v>
      </c>
      <c r="E57" s="148">
        <v>2200</v>
      </c>
      <c r="F57" s="154">
        <v>2711.43</v>
      </c>
      <c r="G57" s="160">
        <f t="shared" si="12"/>
        <v>511.42999999999984</v>
      </c>
      <c r="H57" s="162">
        <f t="shared" si="15"/>
        <v>123.24681818181817</v>
      </c>
      <c r="I57" s="163">
        <f t="shared" si="13"/>
        <v>-4638.57</v>
      </c>
      <c r="J57" s="163">
        <f t="shared" si="16"/>
        <v>36.890204081632646</v>
      </c>
      <c r="K57" s="163">
        <v>722.66</v>
      </c>
      <c r="L57" s="163">
        <f aca="true" t="shared" si="18" ref="L57:L63">F57-K57</f>
        <v>1988.77</v>
      </c>
      <c r="M57" s="216">
        <f t="shared" si="17"/>
        <v>3.752013394957518</v>
      </c>
      <c r="N57" s="162">
        <f>E57-'січень 17'!E57</f>
        <v>600</v>
      </c>
      <c r="O57" s="166">
        <f>F57-'січень 17'!F57</f>
        <v>464.0999999999999</v>
      </c>
      <c r="P57" s="165">
        <f t="shared" si="14"/>
        <v>-135.9000000000001</v>
      </c>
      <c r="Q57" s="163">
        <f t="shared" si="11"/>
        <v>77.34999999999998</v>
      </c>
      <c r="R57" s="36"/>
      <c r="S57" s="93"/>
      <c r="T57" s="145">
        <f t="shared" si="8"/>
        <v>5150</v>
      </c>
    </row>
    <row r="58" spans="1:20" s="6" customFormat="1" ht="18" hidden="1">
      <c r="A58" s="8"/>
      <c r="B58" s="12" t="s">
        <v>22</v>
      </c>
      <c r="C58" s="60" t="s">
        <v>23</v>
      </c>
      <c r="D58" s="30">
        <v>0</v>
      </c>
      <c r="E58" s="30">
        <v>0</v>
      </c>
      <c r="F58" s="137">
        <v>0</v>
      </c>
      <c r="G58" s="160">
        <f t="shared" si="12"/>
        <v>0</v>
      </c>
      <c r="H58" s="162" t="e">
        <f t="shared" si="15"/>
        <v>#DIV/0!</v>
      </c>
      <c r="I58" s="163">
        <f t="shared" si="13"/>
        <v>0</v>
      </c>
      <c r="J58" s="163" t="e">
        <f t="shared" si="16"/>
        <v>#DIV/0!</v>
      </c>
      <c r="K58" s="163"/>
      <c r="L58" s="163">
        <f t="shared" si="18"/>
        <v>0</v>
      </c>
      <c r="M58" s="216" t="e">
        <f t="shared" si="17"/>
        <v>#DIV/0!</v>
      </c>
      <c r="N58" s="162">
        <f>E58-'січень 17'!E58</f>
        <v>0</v>
      </c>
      <c r="O58" s="166">
        <f>F58-'січень 17'!F58</f>
        <v>0</v>
      </c>
      <c r="P58" s="165">
        <f t="shared" si="14"/>
        <v>0</v>
      </c>
      <c r="Q58" s="163" t="e">
        <f t="shared" si="11"/>
        <v>#DIV/0!</v>
      </c>
      <c r="R58" s="36"/>
      <c r="S58" s="93"/>
      <c r="T58" s="145">
        <f t="shared" si="8"/>
        <v>0</v>
      </c>
    </row>
    <row r="59" spans="1:20" s="6" customFormat="1" ht="30.75">
      <c r="A59" s="8"/>
      <c r="B59" s="49" t="s">
        <v>42</v>
      </c>
      <c r="C59" s="60"/>
      <c r="D59" s="102"/>
      <c r="E59" s="102"/>
      <c r="F59" s="199">
        <f>285.33+6</f>
        <v>291.33</v>
      </c>
      <c r="G59" s="160"/>
      <c r="H59" s="162"/>
      <c r="I59" s="163"/>
      <c r="J59" s="163"/>
      <c r="K59" s="164">
        <v>147.3</v>
      </c>
      <c r="L59" s="163">
        <f t="shared" si="18"/>
        <v>144.02999999999997</v>
      </c>
      <c r="M59" s="216">
        <f t="shared" si="17"/>
        <v>1.9778004073319753</v>
      </c>
      <c r="N59" s="162">
        <f>E59-'січень 17'!E59</f>
        <v>0</v>
      </c>
      <c r="O59" s="166">
        <f>F59-'січень 17'!F59</f>
        <v>124.11999999999998</v>
      </c>
      <c r="P59" s="164"/>
      <c r="Q59" s="163"/>
      <c r="R59" s="36"/>
      <c r="S59" s="93"/>
      <c r="T59" s="145">
        <f t="shared" si="8"/>
        <v>0</v>
      </c>
    </row>
    <row r="60" spans="1:20" s="6" customFormat="1" ht="18" hidden="1">
      <c r="A60" s="8"/>
      <c r="B60" s="130" t="s">
        <v>20</v>
      </c>
      <c r="C60" s="127" t="s">
        <v>21</v>
      </c>
      <c r="D60" s="33">
        <v>0</v>
      </c>
      <c r="E60" s="33">
        <v>0</v>
      </c>
      <c r="F60" s="139">
        <v>0</v>
      </c>
      <c r="G60" s="160">
        <f t="shared" si="12"/>
        <v>0</v>
      </c>
      <c r="H60" s="162"/>
      <c r="I60" s="163">
        <f t="shared" si="13"/>
        <v>0</v>
      </c>
      <c r="J60" s="163"/>
      <c r="K60" s="164"/>
      <c r="L60" s="163">
        <f t="shared" si="18"/>
        <v>0</v>
      </c>
      <c r="M60" s="216" t="e">
        <f t="shared" si="17"/>
        <v>#DIV/0!</v>
      </c>
      <c r="N60" s="162">
        <f>E60-'січень 17'!E60</f>
        <v>0</v>
      </c>
      <c r="O60" s="166">
        <f>F60-'січень 17'!F60</f>
        <v>0</v>
      </c>
      <c r="P60" s="165">
        <f t="shared" si="14"/>
        <v>0</v>
      </c>
      <c r="Q60" s="163"/>
      <c r="R60" s="36"/>
      <c r="S60" s="93"/>
      <c r="T60" s="145">
        <f t="shared" si="8"/>
        <v>0</v>
      </c>
    </row>
    <row r="61" spans="1:20" s="6" customFormat="1" ht="44.25" customHeight="1">
      <c r="A61" s="8"/>
      <c r="B61" s="130" t="s">
        <v>43</v>
      </c>
      <c r="C61" s="42">
        <v>24061900</v>
      </c>
      <c r="D61" s="148">
        <v>160</v>
      </c>
      <c r="E61" s="148">
        <v>10</v>
      </c>
      <c r="F61" s="154">
        <v>32.89</v>
      </c>
      <c r="G61" s="160">
        <f t="shared" si="12"/>
        <v>22.89</v>
      </c>
      <c r="H61" s="162">
        <f t="shared" si="15"/>
        <v>328.90000000000003</v>
      </c>
      <c r="I61" s="163">
        <f t="shared" si="13"/>
        <v>-127.11</v>
      </c>
      <c r="J61" s="163">
        <f t="shared" si="16"/>
        <v>20.556250000000002</v>
      </c>
      <c r="K61" s="163">
        <v>32.19</v>
      </c>
      <c r="L61" s="163">
        <f t="shared" si="18"/>
        <v>0.7000000000000028</v>
      </c>
      <c r="M61" s="216">
        <f t="shared" si="17"/>
        <v>1.0217458838148494</v>
      </c>
      <c r="N61" s="162">
        <f>E61-'січень 17'!E61</f>
        <v>0</v>
      </c>
      <c r="O61" s="166">
        <f>F61-'січень 17'!F61</f>
        <v>0</v>
      </c>
      <c r="P61" s="165">
        <f t="shared" si="14"/>
        <v>0</v>
      </c>
      <c r="Q61" s="163"/>
      <c r="R61" s="36"/>
      <c r="S61" s="93"/>
      <c r="T61" s="145">
        <f t="shared" si="8"/>
        <v>150</v>
      </c>
    </row>
    <row r="62" spans="1:20" s="6" customFormat="1" ht="34.5" customHeight="1">
      <c r="A62" s="8"/>
      <c r="B62" s="12" t="s">
        <v>44</v>
      </c>
      <c r="C62" s="42">
        <v>31010200</v>
      </c>
      <c r="D62" s="148">
        <v>15</v>
      </c>
      <c r="E62" s="148">
        <v>2.5</v>
      </c>
      <c r="F62" s="154">
        <v>8.6</v>
      </c>
      <c r="G62" s="160">
        <f t="shared" si="12"/>
        <v>6.1</v>
      </c>
      <c r="H62" s="162">
        <f t="shared" si="15"/>
        <v>344</v>
      </c>
      <c r="I62" s="163">
        <f t="shared" si="13"/>
        <v>-6.4</v>
      </c>
      <c r="J62" s="163">
        <f t="shared" si="16"/>
        <v>57.333333333333336</v>
      </c>
      <c r="K62" s="163">
        <v>3.8</v>
      </c>
      <c r="L62" s="163">
        <f t="shared" si="18"/>
        <v>4.8</v>
      </c>
      <c r="M62" s="216">
        <f t="shared" si="17"/>
        <v>2.263157894736842</v>
      </c>
      <c r="N62" s="162">
        <f>E62-'січень 17'!E62</f>
        <v>1.3</v>
      </c>
      <c r="O62" s="166">
        <f>F62-'січень 17'!F62</f>
        <v>7.109999999999999</v>
      </c>
      <c r="P62" s="165">
        <f t="shared" si="14"/>
        <v>5.81</v>
      </c>
      <c r="Q62" s="163">
        <f t="shared" si="11"/>
        <v>546.9230769230768</v>
      </c>
      <c r="R62" s="36"/>
      <c r="S62" s="93"/>
      <c r="T62" s="145">
        <f t="shared" si="8"/>
        <v>12.5</v>
      </c>
    </row>
    <row r="63" spans="1:20" s="6" customFormat="1" ht="30.75">
      <c r="A63" s="8"/>
      <c r="B63" s="130" t="s">
        <v>57</v>
      </c>
      <c r="C63" s="42">
        <v>31020000</v>
      </c>
      <c r="D63" s="148">
        <v>0</v>
      </c>
      <c r="E63" s="148">
        <v>0</v>
      </c>
      <c r="F63" s="154">
        <v>-5.33</v>
      </c>
      <c r="G63" s="160">
        <f t="shared" si="12"/>
        <v>-5.33</v>
      </c>
      <c r="H63" s="162"/>
      <c r="I63" s="163">
        <f t="shared" si="13"/>
        <v>-5.33</v>
      </c>
      <c r="J63" s="163"/>
      <c r="K63" s="163">
        <v>0.54</v>
      </c>
      <c r="L63" s="163">
        <f t="shared" si="18"/>
        <v>-5.87</v>
      </c>
      <c r="M63" s="216">
        <f t="shared" si="17"/>
        <v>-9.87037037037037</v>
      </c>
      <c r="N63" s="162">
        <f>E63-'січень 17'!E63</f>
        <v>0</v>
      </c>
      <c r="O63" s="166">
        <f>F63-'січень 17'!F63</f>
        <v>-5.33</v>
      </c>
      <c r="P63" s="165">
        <f t="shared" si="14"/>
        <v>-5.33</v>
      </c>
      <c r="Q63" s="163"/>
      <c r="R63" s="36"/>
      <c r="S63" s="93"/>
      <c r="T63" s="145">
        <f t="shared" si="8"/>
        <v>0</v>
      </c>
    </row>
    <row r="64" spans="1:21" s="6" customFormat="1" ht="18">
      <c r="A64" s="9"/>
      <c r="B64" s="14" t="s">
        <v>28</v>
      </c>
      <c r="C64" s="61"/>
      <c r="D64" s="149">
        <f>D8+D38+D62+D63</f>
        <v>1357491.1</v>
      </c>
      <c r="E64" s="149">
        <f>E8+E38+E62+E63</f>
        <v>204022.1</v>
      </c>
      <c r="F64" s="149">
        <f>F8+F38+F62+F63</f>
        <v>203526.37000000005</v>
      </c>
      <c r="G64" s="149">
        <f>F64-E64</f>
        <v>-495.72999999995227</v>
      </c>
      <c r="H64" s="150">
        <f>F64/E64*100</f>
        <v>99.75702142071866</v>
      </c>
      <c r="I64" s="151">
        <f>F64-D64</f>
        <v>-1153964.73</v>
      </c>
      <c r="J64" s="151">
        <f>F64/D64*100</f>
        <v>14.992832733857336</v>
      </c>
      <c r="K64" s="151">
        <v>145343.26</v>
      </c>
      <c r="L64" s="151">
        <f>F64-K64</f>
        <v>58183.110000000044</v>
      </c>
      <c r="M64" s="217">
        <f>F64/K64</f>
        <v>1.4003151573729669</v>
      </c>
      <c r="N64" s="149">
        <f>N8+N38+N62+N63</f>
        <v>106665.6</v>
      </c>
      <c r="O64" s="149">
        <f>O8+O38+O62+O63</f>
        <v>105440.18</v>
      </c>
      <c r="P64" s="153">
        <f>O64-N64</f>
        <v>-1225.4200000000128</v>
      </c>
      <c r="Q64" s="151">
        <f>O64/N64*100</f>
        <v>98.85115726157261</v>
      </c>
      <c r="R64" s="26">
        <f>O64-34768</f>
        <v>70672.18</v>
      </c>
      <c r="S64" s="114">
        <f>O64/34768</f>
        <v>3.0326789001380576</v>
      </c>
      <c r="T64" s="145">
        <f t="shared" si="8"/>
        <v>1153469</v>
      </c>
      <c r="U64" s="131"/>
    </row>
    <row r="65" spans="1:20" s="47" customFormat="1" ht="17.25" hidden="1">
      <c r="A65" s="44"/>
      <c r="B65" s="54"/>
      <c r="C65" s="62"/>
      <c r="D65" s="45"/>
      <c r="E65" s="45"/>
      <c r="F65" s="81"/>
      <c r="G65" s="76"/>
      <c r="H65" s="46"/>
      <c r="I65" s="53"/>
      <c r="J65" s="34"/>
      <c r="K65" s="34"/>
      <c r="L65" s="34"/>
      <c r="M65" s="34"/>
      <c r="N65" s="46"/>
      <c r="O65" s="45"/>
      <c r="P65" s="78"/>
      <c r="Q65" s="34"/>
      <c r="R65" s="34"/>
      <c r="S65" s="95"/>
      <c r="T65" s="145">
        <f t="shared" si="8"/>
        <v>0</v>
      </c>
    </row>
    <row r="66" spans="1:20" s="47" customFormat="1" ht="17.25" hidden="1">
      <c r="A66" s="44"/>
      <c r="B66" s="55"/>
      <c r="C66" s="62"/>
      <c r="D66" s="56"/>
      <c r="E66" s="45"/>
      <c r="F66" s="81"/>
      <c r="G66" s="39"/>
      <c r="H66" s="46"/>
      <c r="I66" s="57"/>
      <c r="J66" s="34"/>
      <c r="K66" s="34"/>
      <c r="L66" s="34"/>
      <c r="M66" s="34"/>
      <c r="N66" s="29"/>
      <c r="O66" s="45"/>
      <c r="P66" s="58"/>
      <c r="Q66" s="34"/>
      <c r="R66" s="34"/>
      <c r="S66" s="95"/>
      <c r="T66" s="145">
        <f t="shared" si="8"/>
        <v>0</v>
      </c>
    </row>
    <row r="67" spans="1:20" s="47" customFormat="1" ht="17.25" hidden="1">
      <c r="A67" s="44"/>
      <c r="B67" s="55"/>
      <c r="C67" s="62"/>
      <c r="D67" s="56"/>
      <c r="E67" s="33"/>
      <c r="F67" s="110"/>
      <c r="G67" s="39"/>
      <c r="H67" s="46"/>
      <c r="I67" s="57"/>
      <c r="J67" s="34"/>
      <c r="K67" s="34"/>
      <c r="L67" s="34"/>
      <c r="M67" s="34"/>
      <c r="N67" s="29"/>
      <c r="O67" s="56"/>
      <c r="P67" s="78"/>
      <c r="Q67" s="34"/>
      <c r="R67" s="34"/>
      <c r="S67" s="95"/>
      <c r="T67" s="145">
        <f t="shared" si="8"/>
        <v>0</v>
      </c>
    </row>
    <row r="68" spans="2:21" ht="15">
      <c r="B68" s="22" t="s">
        <v>106</v>
      </c>
      <c r="C68" s="63"/>
      <c r="D68" s="24"/>
      <c r="E68" s="24"/>
      <c r="F68" s="140"/>
      <c r="G68" s="33"/>
      <c r="H68" s="29"/>
      <c r="I68" s="37"/>
      <c r="J68" s="37"/>
      <c r="K68" s="37"/>
      <c r="L68" s="37"/>
      <c r="M68" s="37"/>
      <c r="N68" s="30"/>
      <c r="O68" s="144"/>
      <c r="P68" s="35"/>
      <c r="Q68" s="37"/>
      <c r="R68" s="37"/>
      <c r="S68" s="96"/>
      <c r="T68" s="145">
        <f t="shared" si="8"/>
        <v>0</v>
      </c>
      <c r="U68" s="77"/>
    </row>
    <row r="69" spans="2:20" ht="25.5" customHeight="1" hidden="1">
      <c r="B69" s="232" t="s">
        <v>100</v>
      </c>
      <c r="C69" s="133">
        <v>12020000</v>
      </c>
      <c r="D69" s="178">
        <v>0</v>
      </c>
      <c r="E69" s="178"/>
      <c r="F69" s="179">
        <v>0.01</v>
      </c>
      <c r="G69" s="160"/>
      <c r="H69" s="162"/>
      <c r="I69" s="165"/>
      <c r="J69" s="165"/>
      <c r="K69" s="165">
        <v>0.01</v>
      </c>
      <c r="L69" s="165">
        <f>F69-K69</f>
        <v>0</v>
      </c>
      <c r="M69" s="207">
        <f>F69/K69</f>
        <v>1</v>
      </c>
      <c r="N69" s="160">
        <f>E69-'січень 17'!E69</f>
        <v>0</v>
      </c>
      <c r="O69" s="180">
        <f>F69-'січень 17'!F69</f>
        <v>0</v>
      </c>
      <c r="P69" s="165"/>
      <c r="Q69" s="165"/>
      <c r="R69" s="37"/>
      <c r="S69" s="96"/>
      <c r="T69" s="145">
        <f t="shared" si="8"/>
        <v>0</v>
      </c>
    </row>
    <row r="70" spans="2:20" ht="31.5" hidden="1">
      <c r="B70" s="233" t="s">
        <v>62</v>
      </c>
      <c r="C70" s="72">
        <v>18041500</v>
      </c>
      <c r="D70" s="178">
        <v>0</v>
      </c>
      <c r="E70" s="178"/>
      <c r="F70" s="179">
        <v>0</v>
      </c>
      <c r="G70" s="160">
        <f>F70-E70</f>
        <v>0</v>
      </c>
      <c r="H70" s="162"/>
      <c r="I70" s="165">
        <f>F70-D70</f>
        <v>0</v>
      </c>
      <c r="J70" s="165"/>
      <c r="K70" s="165">
        <v>-55.72</v>
      </c>
      <c r="L70" s="165">
        <f>F70-K70</f>
        <v>55.72</v>
      </c>
      <c r="M70" s="207">
        <f>F70/K70</f>
        <v>0</v>
      </c>
      <c r="N70" s="160">
        <f>E70-'січень 17'!E70</f>
        <v>0</v>
      </c>
      <c r="O70" s="180">
        <f>F70-'січень 17'!F70</f>
        <v>0</v>
      </c>
      <c r="P70" s="165">
        <f>O70-N70</f>
        <v>0</v>
      </c>
      <c r="Q70" s="165"/>
      <c r="R70" s="37"/>
      <c r="S70" s="96"/>
      <c r="T70" s="145">
        <f t="shared" si="8"/>
        <v>0</v>
      </c>
    </row>
    <row r="71" spans="2:21" ht="17.25">
      <c r="B71" s="27" t="s">
        <v>45</v>
      </c>
      <c r="C71" s="73"/>
      <c r="D71" s="181">
        <f>D70</f>
        <v>0</v>
      </c>
      <c r="E71" s="181">
        <f>E70</f>
        <v>0</v>
      </c>
      <c r="F71" s="182">
        <f>SUM(F69:F70)</f>
        <v>0.01</v>
      </c>
      <c r="G71" s="183">
        <f>F71-E71</f>
        <v>0.01</v>
      </c>
      <c r="H71" s="184"/>
      <c r="I71" s="185">
        <f>F71-D71</f>
        <v>0.01</v>
      </c>
      <c r="J71" s="185"/>
      <c r="K71" s="185">
        <v>-0.27</v>
      </c>
      <c r="L71" s="185">
        <f>F71-K71</f>
        <v>0.28</v>
      </c>
      <c r="M71" s="212">
        <f>F71/K71</f>
        <v>-0.037037037037037035</v>
      </c>
      <c r="N71" s="183">
        <f>N70</f>
        <v>0</v>
      </c>
      <c r="O71" s="186">
        <f>SUM(O69:O70)</f>
        <v>0</v>
      </c>
      <c r="P71" s="185">
        <f>O71-N71</f>
        <v>0</v>
      </c>
      <c r="Q71" s="185"/>
      <c r="R71" s="38"/>
      <c r="S71" s="97"/>
      <c r="T71" s="145">
        <f t="shared" si="8"/>
        <v>0</v>
      </c>
      <c r="U71" s="77"/>
    </row>
    <row r="72" spans="2:20" ht="46.5" hidden="1">
      <c r="B72" s="23" t="s">
        <v>37</v>
      </c>
      <c r="C72" s="73">
        <v>21110000</v>
      </c>
      <c r="D72" s="178">
        <v>0</v>
      </c>
      <c r="E72" s="178"/>
      <c r="F72" s="179">
        <v>0</v>
      </c>
      <c r="G72" s="160" t="e">
        <f>#N/A</f>
        <v>#N/A</v>
      </c>
      <c r="H72" s="162" t="e">
        <f>F72/E72*100</f>
        <v>#DIV/0!</v>
      </c>
      <c r="I72" s="165" t="e">
        <f>#N/A</f>
        <v>#N/A</v>
      </c>
      <c r="J72" s="165" t="e">
        <f>#N/A</f>
        <v>#N/A</v>
      </c>
      <c r="K72" s="165"/>
      <c r="L72" s="165"/>
      <c r="M72" s="165"/>
      <c r="N72" s="160">
        <v>0</v>
      </c>
      <c r="O72" s="180">
        <f>F72</f>
        <v>0</v>
      </c>
      <c r="P72" s="165" t="e">
        <f>#N/A</f>
        <v>#N/A</v>
      </c>
      <c r="Q72" s="165"/>
      <c r="R72" s="37"/>
      <c r="S72" s="96"/>
      <c r="T72" s="145">
        <f t="shared" si="8"/>
        <v>0</v>
      </c>
    </row>
    <row r="73" spans="2:21" ht="31.5">
      <c r="B73" s="23" t="s">
        <v>29</v>
      </c>
      <c r="C73" s="72">
        <v>31030000</v>
      </c>
      <c r="D73" s="178">
        <f>4000+100206.03</f>
        <v>104206.03</v>
      </c>
      <c r="E73" s="178">
        <v>0</v>
      </c>
      <c r="F73" s="179">
        <v>0.07</v>
      </c>
      <c r="G73" s="160">
        <f aca="true" t="shared" si="19" ref="G73:G84">F73-E73</f>
        <v>0.07</v>
      </c>
      <c r="H73" s="162"/>
      <c r="I73" s="165">
        <f aca="true" t="shared" si="20" ref="I73:I84">F73-D73</f>
        <v>-104205.95999999999</v>
      </c>
      <c r="J73" s="165">
        <f>F73/D73*100</f>
        <v>6.71746155188908E-05</v>
      </c>
      <c r="K73" s="165">
        <v>0.1</v>
      </c>
      <c r="L73" s="165">
        <f aca="true" t="shared" si="21" ref="L73:L84">F73-K73</f>
        <v>-0.03</v>
      </c>
      <c r="M73" s="207">
        <f>F73/K73</f>
        <v>0.7000000000000001</v>
      </c>
      <c r="N73" s="162">
        <f>E73-'січень 17'!E73</f>
        <v>0</v>
      </c>
      <c r="O73" s="166">
        <f>F73-'січень 17'!F73</f>
        <v>0.030000000000000006</v>
      </c>
      <c r="P73" s="165">
        <f aca="true" t="shared" si="22" ref="P73:P86">O73-N73</f>
        <v>0.030000000000000006</v>
      </c>
      <c r="Q73" s="165" t="e">
        <f>O73/N73*100</f>
        <v>#DIV/0!</v>
      </c>
      <c r="R73" s="37"/>
      <c r="S73" s="96"/>
      <c r="T73" s="145">
        <f t="shared" si="8"/>
        <v>104206.03</v>
      </c>
      <c r="U73" s="4">
        <v>0</v>
      </c>
    </row>
    <row r="74" spans="2:20" ht="18">
      <c r="B74" s="23" t="s">
        <v>30</v>
      </c>
      <c r="C74" s="72">
        <v>33010000</v>
      </c>
      <c r="D74" s="178">
        <f>8000+46000</f>
        <v>54000</v>
      </c>
      <c r="E74" s="178">
        <v>1230</v>
      </c>
      <c r="F74" s="179">
        <v>48.34</v>
      </c>
      <c r="G74" s="160">
        <f t="shared" si="19"/>
        <v>-1181.66</v>
      </c>
      <c r="H74" s="162">
        <f>F74/E74*100</f>
        <v>3.930081300813008</v>
      </c>
      <c r="I74" s="165">
        <f t="shared" si="20"/>
        <v>-53951.66</v>
      </c>
      <c r="J74" s="165">
        <f>F74/D74*100</f>
        <v>0.08951851851851853</v>
      </c>
      <c r="K74" s="165">
        <v>376.67</v>
      </c>
      <c r="L74" s="165">
        <f t="shared" si="21"/>
        <v>-328.33000000000004</v>
      </c>
      <c r="M74" s="207">
        <f>F74/K74</f>
        <v>0.12833514747657102</v>
      </c>
      <c r="N74" s="162">
        <f>E74-'січень 17'!E74</f>
        <v>630</v>
      </c>
      <c r="O74" s="166">
        <f>F74-'січень 17'!F74</f>
        <v>46.440000000000005</v>
      </c>
      <c r="P74" s="165">
        <f t="shared" si="22"/>
        <v>-583.56</v>
      </c>
      <c r="Q74" s="165">
        <f>O74/N74*100</f>
        <v>7.371428571428572</v>
      </c>
      <c r="R74" s="37"/>
      <c r="S74" s="96"/>
      <c r="T74" s="145">
        <f aca="true" t="shared" si="23" ref="T74:T90">D74-E74</f>
        <v>52770</v>
      </c>
    </row>
    <row r="75" spans="2:20" ht="31.5">
      <c r="B75" s="23" t="s">
        <v>54</v>
      </c>
      <c r="C75" s="72">
        <v>24170000</v>
      </c>
      <c r="D75" s="178">
        <f>10000+69000</f>
        <v>79000</v>
      </c>
      <c r="E75" s="178">
        <v>800</v>
      </c>
      <c r="F75" s="179">
        <v>1102.59</v>
      </c>
      <c r="G75" s="160">
        <f t="shared" si="19"/>
        <v>302.5899999999999</v>
      </c>
      <c r="H75" s="162">
        <f>F75/E75*100</f>
        <v>137.82375</v>
      </c>
      <c r="I75" s="165">
        <f t="shared" si="20"/>
        <v>-77897.41</v>
      </c>
      <c r="J75" s="165">
        <f>F75/D75*100</f>
        <v>1.3956835443037974</v>
      </c>
      <c r="K75" s="165">
        <v>646.84</v>
      </c>
      <c r="L75" s="165">
        <f t="shared" si="21"/>
        <v>455.7499999999999</v>
      </c>
      <c r="M75" s="207">
        <f>F75/K75</f>
        <v>1.704579184960732</v>
      </c>
      <c r="N75" s="162">
        <f>E75-'січень 17'!E75</f>
        <v>400</v>
      </c>
      <c r="O75" s="166">
        <f>F75-'січень 17'!F75</f>
        <v>1012.4699999999999</v>
      </c>
      <c r="P75" s="165">
        <f t="shared" si="22"/>
        <v>612.4699999999999</v>
      </c>
      <c r="Q75" s="165">
        <f>O75/N75*100</f>
        <v>253.11749999999998</v>
      </c>
      <c r="R75" s="37"/>
      <c r="S75" s="96"/>
      <c r="T75" s="145">
        <f t="shared" si="23"/>
        <v>78200</v>
      </c>
    </row>
    <row r="76" spans="2:20" ht="18">
      <c r="B76" s="23" t="s">
        <v>101</v>
      </c>
      <c r="C76" s="72">
        <v>24110700</v>
      </c>
      <c r="D76" s="178">
        <v>12</v>
      </c>
      <c r="E76" s="178">
        <v>2</v>
      </c>
      <c r="F76" s="179">
        <v>2</v>
      </c>
      <c r="G76" s="160">
        <f t="shared" si="19"/>
        <v>0</v>
      </c>
      <c r="H76" s="162">
        <f>F76/E76*100</f>
        <v>100</v>
      </c>
      <c r="I76" s="165">
        <f t="shared" si="20"/>
        <v>-10</v>
      </c>
      <c r="J76" s="165">
        <f>F76/D76*100</f>
        <v>16.666666666666664</v>
      </c>
      <c r="K76" s="165">
        <v>2</v>
      </c>
      <c r="L76" s="165">
        <f t="shared" si="21"/>
        <v>0</v>
      </c>
      <c r="M76" s="207"/>
      <c r="N76" s="162">
        <f>E76-'січень 17'!E76</f>
        <v>1</v>
      </c>
      <c r="O76" s="166">
        <f>F76-'січень 17'!F76</f>
        <v>1</v>
      </c>
      <c r="P76" s="165">
        <f t="shared" si="22"/>
        <v>0</v>
      </c>
      <c r="Q76" s="165">
        <f>O76/N76*100</f>
        <v>100</v>
      </c>
      <c r="R76" s="37"/>
      <c r="S76" s="134"/>
      <c r="T76" s="145">
        <f t="shared" si="23"/>
        <v>10</v>
      </c>
    </row>
    <row r="77" spans="2:20" ht="33">
      <c r="B77" s="27" t="s">
        <v>51</v>
      </c>
      <c r="C77" s="64"/>
      <c r="D77" s="181">
        <f>D73+D74+D75+D76</f>
        <v>237218.03</v>
      </c>
      <c r="E77" s="181">
        <f>E73+E74+E75+E76</f>
        <v>2032</v>
      </c>
      <c r="F77" s="182">
        <f>F73+F74+F75+F76</f>
        <v>1153</v>
      </c>
      <c r="G77" s="183">
        <f t="shared" si="19"/>
        <v>-879</v>
      </c>
      <c r="H77" s="184">
        <f>F77/E77*100</f>
        <v>56.74212598425197</v>
      </c>
      <c r="I77" s="185">
        <f t="shared" si="20"/>
        <v>-236065.03</v>
      </c>
      <c r="J77" s="185">
        <f>F77/D77*100</f>
        <v>0.48605074411923915</v>
      </c>
      <c r="K77" s="185">
        <v>1025.62</v>
      </c>
      <c r="L77" s="185">
        <f t="shared" si="21"/>
        <v>127.38000000000011</v>
      </c>
      <c r="M77" s="212">
        <f>F77/K77</f>
        <v>1.1241980460599443</v>
      </c>
      <c r="N77" s="183">
        <f>N73+N74+N75+N76</f>
        <v>1031</v>
      </c>
      <c r="O77" s="187">
        <f>O73+O74+O75+O76</f>
        <v>1059.9399999999998</v>
      </c>
      <c r="P77" s="185">
        <f t="shared" si="22"/>
        <v>28.939999999999827</v>
      </c>
      <c r="Q77" s="185">
        <f>O77/N77*100</f>
        <v>102.8069835111542</v>
      </c>
      <c r="R77" s="38"/>
      <c r="S77" s="115"/>
      <c r="T77" s="145">
        <f t="shared" si="23"/>
        <v>235186.03</v>
      </c>
    </row>
    <row r="78" spans="2:20" ht="46.5">
      <c r="B78" s="12" t="s">
        <v>40</v>
      </c>
      <c r="C78" s="74">
        <v>24062100</v>
      </c>
      <c r="D78" s="178">
        <v>40</v>
      </c>
      <c r="E78" s="178">
        <v>0</v>
      </c>
      <c r="F78" s="179">
        <v>8.78</v>
      </c>
      <c r="G78" s="160">
        <f t="shared" si="19"/>
        <v>8.78</v>
      </c>
      <c r="H78" s="162"/>
      <c r="I78" s="165">
        <f t="shared" si="20"/>
        <v>-31.22</v>
      </c>
      <c r="J78" s="165"/>
      <c r="K78" s="165">
        <v>0.01</v>
      </c>
      <c r="L78" s="165">
        <f t="shared" si="21"/>
        <v>8.77</v>
      </c>
      <c r="M78" s="207">
        <f>F78/K78</f>
        <v>877.9999999999999</v>
      </c>
      <c r="N78" s="162">
        <f>E78-'січень 17'!E78</f>
        <v>0</v>
      </c>
      <c r="O78" s="166">
        <f>F78-'січень 17'!F78</f>
        <v>8.44</v>
      </c>
      <c r="P78" s="165">
        <f t="shared" si="22"/>
        <v>8.44</v>
      </c>
      <c r="Q78" s="165"/>
      <c r="R78" s="37"/>
      <c r="S78" s="96"/>
      <c r="T78" s="145">
        <f t="shared" si="23"/>
        <v>40</v>
      </c>
    </row>
    <row r="79" spans="2:20" ht="18">
      <c r="B79" s="23" t="s">
        <v>52</v>
      </c>
      <c r="C79" s="72">
        <v>24061600</v>
      </c>
      <c r="D79" s="178">
        <v>0</v>
      </c>
      <c r="E79" s="178">
        <v>0</v>
      </c>
      <c r="F79" s="179">
        <v>0</v>
      </c>
      <c r="G79" s="160">
        <f t="shared" si="19"/>
        <v>0</v>
      </c>
      <c r="H79" s="162"/>
      <c r="I79" s="165">
        <f t="shared" si="20"/>
        <v>0</v>
      </c>
      <c r="J79" s="188"/>
      <c r="K79" s="165">
        <v>0</v>
      </c>
      <c r="L79" s="165">
        <f t="shared" si="21"/>
        <v>0</v>
      </c>
      <c r="M79" s="207" t="e">
        <f>F79/K79</f>
        <v>#DIV/0!</v>
      </c>
      <c r="N79" s="162">
        <f>E79-'січень 17'!E79</f>
        <v>0</v>
      </c>
      <c r="O79" s="166">
        <f>F79-'січень 17'!F79</f>
        <v>0</v>
      </c>
      <c r="P79" s="165">
        <f t="shared" si="22"/>
        <v>0</v>
      </c>
      <c r="Q79" s="188"/>
      <c r="R79" s="40"/>
      <c r="S79" s="98"/>
      <c r="T79" s="145">
        <f t="shared" si="23"/>
        <v>0</v>
      </c>
    </row>
    <row r="80" spans="2:20" ht="18">
      <c r="B80" s="23" t="s">
        <v>46</v>
      </c>
      <c r="C80" s="72">
        <v>19010000</v>
      </c>
      <c r="D80" s="178">
        <v>8360</v>
      </c>
      <c r="E80" s="178">
        <v>2350</v>
      </c>
      <c r="F80" s="179">
        <v>2217.23</v>
      </c>
      <c r="G80" s="160">
        <f t="shared" si="19"/>
        <v>-132.76999999999998</v>
      </c>
      <c r="H80" s="162">
        <f>F80/E80*100</f>
        <v>94.35021276595745</v>
      </c>
      <c r="I80" s="165">
        <f t="shared" si="20"/>
        <v>-6142.77</v>
      </c>
      <c r="J80" s="165">
        <f>F80/D80*100</f>
        <v>26.52188995215311</v>
      </c>
      <c r="K80" s="165">
        <v>2013.66</v>
      </c>
      <c r="L80" s="165">
        <f t="shared" si="21"/>
        <v>203.56999999999994</v>
      </c>
      <c r="M80" s="207"/>
      <c r="N80" s="162">
        <f>E80-'січень 17'!E80</f>
        <v>2342.5</v>
      </c>
      <c r="O80" s="166">
        <f>F80-'січень 17'!F80</f>
        <v>2205.75</v>
      </c>
      <c r="P80" s="165">
        <f>O80-N80</f>
        <v>-136.75</v>
      </c>
      <c r="Q80" s="188">
        <f>O80/N80*100</f>
        <v>94.16221985058698</v>
      </c>
      <c r="R80" s="40"/>
      <c r="S80" s="98"/>
      <c r="T80" s="145">
        <f t="shared" si="23"/>
        <v>6010</v>
      </c>
    </row>
    <row r="81" spans="2:20" ht="31.5">
      <c r="B81" s="23" t="s">
        <v>50</v>
      </c>
      <c r="C81" s="72">
        <v>19050000</v>
      </c>
      <c r="D81" s="178">
        <v>0</v>
      </c>
      <c r="E81" s="178"/>
      <c r="F81" s="179">
        <v>0.03</v>
      </c>
      <c r="G81" s="160">
        <f t="shared" si="19"/>
        <v>0.03</v>
      </c>
      <c r="H81" s="162"/>
      <c r="I81" s="165">
        <f t="shared" si="20"/>
        <v>0.03</v>
      </c>
      <c r="J81" s="165"/>
      <c r="K81" s="165">
        <v>1.31</v>
      </c>
      <c r="L81" s="165">
        <f t="shared" si="21"/>
        <v>-1.28</v>
      </c>
      <c r="M81" s="207">
        <f aca="true" t="shared" si="24" ref="M81:M86">F81/K81</f>
        <v>0.022900763358778622</v>
      </c>
      <c r="N81" s="162">
        <f>E81-'січень 17'!E81</f>
        <v>0</v>
      </c>
      <c r="O81" s="166">
        <f>F81-'січень 17'!F81</f>
        <v>0.03</v>
      </c>
      <c r="P81" s="165">
        <f t="shared" si="22"/>
        <v>0.03</v>
      </c>
      <c r="Q81" s="165"/>
      <c r="R81" s="37"/>
      <c r="S81" s="96"/>
      <c r="T81" s="145">
        <f t="shared" si="23"/>
        <v>0</v>
      </c>
    </row>
    <row r="82" spans="2:20" ht="30">
      <c r="B82" s="27" t="s">
        <v>47</v>
      </c>
      <c r="C82" s="72"/>
      <c r="D82" s="181">
        <f>D78+D81+D79+D80</f>
        <v>8400</v>
      </c>
      <c r="E82" s="181">
        <f>E78+E81+E79+E80</f>
        <v>2350</v>
      </c>
      <c r="F82" s="182">
        <f>F78+F81+F79+F80</f>
        <v>2226.04</v>
      </c>
      <c r="G82" s="181">
        <f>G78+G81+G79+G80</f>
        <v>-123.95999999999998</v>
      </c>
      <c r="H82" s="184">
        <f>F82/E82*100</f>
        <v>94.72510638297872</v>
      </c>
      <c r="I82" s="185">
        <f t="shared" si="20"/>
        <v>-6173.96</v>
      </c>
      <c r="J82" s="185">
        <f>F82/D82*100</f>
        <v>26.500476190476192</v>
      </c>
      <c r="K82" s="185">
        <v>2013.84</v>
      </c>
      <c r="L82" s="185">
        <f t="shared" si="21"/>
        <v>212.20000000000005</v>
      </c>
      <c r="M82" s="218">
        <f t="shared" si="24"/>
        <v>1.105370833829897</v>
      </c>
      <c r="N82" s="183">
        <f>N78+N81+N79+N80</f>
        <v>2342.5</v>
      </c>
      <c r="O82" s="187">
        <f>O78+O81+O79+O80</f>
        <v>2214.22</v>
      </c>
      <c r="P82" s="183">
        <f>P78+P81+P79+P80</f>
        <v>-128.28</v>
      </c>
      <c r="Q82" s="185">
        <f>O82/N82*100</f>
        <v>94.52379935965848</v>
      </c>
      <c r="R82" s="38"/>
      <c r="S82" s="95"/>
      <c r="T82" s="145">
        <f t="shared" si="23"/>
        <v>6050</v>
      </c>
    </row>
    <row r="83" spans="2:20" ht="30.75">
      <c r="B83" s="12" t="s">
        <v>41</v>
      </c>
      <c r="C83" s="42">
        <v>24110900</v>
      </c>
      <c r="D83" s="178">
        <v>38</v>
      </c>
      <c r="E83" s="178">
        <v>4.9</v>
      </c>
      <c r="F83" s="179">
        <v>0.96</v>
      </c>
      <c r="G83" s="160">
        <f t="shared" si="19"/>
        <v>-3.9400000000000004</v>
      </c>
      <c r="H83" s="162">
        <f>F83/E83*100</f>
        <v>19.591836734693878</v>
      </c>
      <c r="I83" s="165">
        <f t="shared" si="20"/>
        <v>-37.04</v>
      </c>
      <c r="J83" s="165">
        <f>F83/D83*100</f>
        <v>2.526315789473684</v>
      </c>
      <c r="K83" s="165">
        <v>0.69</v>
      </c>
      <c r="L83" s="165">
        <f t="shared" si="21"/>
        <v>0.27</v>
      </c>
      <c r="M83" s="207">
        <f t="shared" si="24"/>
        <v>1.391304347826087</v>
      </c>
      <c r="N83" s="162">
        <f>E83-'січень 17'!E83</f>
        <v>2.5000000000000004</v>
      </c>
      <c r="O83" s="166">
        <f>F83-'січень 17'!F83</f>
        <v>0.6199999999999999</v>
      </c>
      <c r="P83" s="165">
        <f t="shared" si="22"/>
        <v>-1.8800000000000006</v>
      </c>
      <c r="Q83" s="165">
        <f>O83/N83</f>
        <v>0.24799999999999991</v>
      </c>
      <c r="R83" s="37"/>
      <c r="S83" s="96"/>
      <c r="T83" s="145">
        <f t="shared" si="23"/>
        <v>33.1</v>
      </c>
    </row>
    <row r="84" spans="2:20" ht="18">
      <c r="B84" s="121" t="s">
        <v>130</v>
      </c>
      <c r="C84" s="42">
        <v>21110000</v>
      </c>
      <c r="D84" s="178">
        <v>0</v>
      </c>
      <c r="E84" s="178">
        <v>0</v>
      </c>
      <c r="F84" s="179">
        <v>26.66</v>
      </c>
      <c r="G84" s="160">
        <f t="shared" si="19"/>
        <v>26.66</v>
      </c>
      <c r="H84" s="162"/>
      <c r="I84" s="165">
        <f t="shared" si="20"/>
        <v>26.66</v>
      </c>
      <c r="J84" s="165"/>
      <c r="K84" s="165">
        <v>0</v>
      </c>
      <c r="L84" s="165">
        <f t="shared" si="21"/>
        <v>26.66</v>
      </c>
      <c r="M84" s="165"/>
      <c r="N84" s="162">
        <f>E84-'січень 17'!E84</f>
        <v>0</v>
      </c>
      <c r="O84" s="166">
        <f>F84-'січень 17'!F84</f>
        <v>14.85</v>
      </c>
      <c r="P84" s="165">
        <f t="shared" si="22"/>
        <v>14.85</v>
      </c>
      <c r="Q84" s="165"/>
      <c r="R84" s="37"/>
      <c r="S84" s="96"/>
      <c r="T84" s="145">
        <f t="shared" si="23"/>
        <v>0</v>
      </c>
    </row>
    <row r="85" spans="2:20" ht="23.25" customHeight="1">
      <c r="B85" s="14" t="s">
        <v>31</v>
      </c>
      <c r="C85" s="65"/>
      <c r="D85" s="189">
        <f>D71+D83+D77+D82</f>
        <v>245656.03</v>
      </c>
      <c r="E85" s="189">
        <f>E71+E83+E77+E82+E84</f>
        <v>4386.9</v>
      </c>
      <c r="F85" s="189">
        <f>F71+F83+F77+F82+F84</f>
        <v>3406.67</v>
      </c>
      <c r="G85" s="190">
        <f>F85-E85</f>
        <v>-980.2299999999996</v>
      </c>
      <c r="H85" s="191">
        <f>F85/E85*100</f>
        <v>77.65551984316944</v>
      </c>
      <c r="I85" s="192">
        <f>F85-D85</f>
        <v>-242249.36</v>
      </c>
      <c r="J85" s="192">
        <f>F85/D85*100</f>
        <v>1.386764249182078</v>
      </c>
      <c r="K85" s="192">
        <v>3039.87</v>
      </c>
      <c r="L85" s="192">
        <f>F85-K85</f>
        <v>366.8000000000002</v>
      </c>
      <c r="M85" s="219">
        <f t="shared" si="24"/>
        <v>1.120663054670101</v>
      </c>
      <c r="N85" s="189">
        <f>N71+N83+N77+N82+N84</f>
        <v>3376</v>
      </c>
      <c r="O85" s="189">
        <f>O71+O83+O77+O82+O84</f>
        <v>3289.6299999999997</v>
      </c>
      <c r="P85" s="192">
        <f t="shared" si="22"/>
        <v>-86.37000000000035</v>
      </c>
      <c r="Q85" s="192">
        <f>O85/N85*100</f>
        <v>97.44164691943126</v>
      </c>
      <c r="R85" s="26">
        <f>O85-8104.96</f>
        <v>-4815.33</v>
      </c>
      <c r="S85" s="94">
        <f>O85/8104.96</f>
        <v>0.4058786224731522</v>
      </c>
      <c r="T85" s="145">
        <f t="shared" si="23"/>
        <v>241269.13</v>
      </c>
    </row>
    <row r="86" spans="2:20" ht="17.25">
      <c r="B86" s="21" t="s">
        <v>32</v>
      </c>
      <c r="C86" s="65"/>
      <c r="D86" s="189">
        <f>D64+D85</f>
        <v>1603147.1300000001</v>
      </c>
      <c r="E86" s="189">
        <f>E64+E85</f>
        <v>208409</v>
      </c>
      <c r="F86" s="189">
        <f>F64+F85</f>
        <v>206933.04000000007</v>
      </c>
      <c r="G86" s="190">
        <f>F86-E86</f>
        <v>-1475.9599999999336</v>
      </c>
      <c r="H86" s="191">
        <f>F86/E86*100</f>
        <v>99.29179641954046</v>
      </c>
      <c r="I86" s="192">
        <f>F86-D86</f>
        <v>-1396214.09</v>
      </c>
      <c r="J86" s="192">
        <f>F86/D86*100</f>
        <v>12.907925674919184</v>
      </c>
      <c r="K86" s="192">
        <f>K64+K85</f>
        <v>148383.13</v>
      </c>
      <c r="L86" s="192">
        <f>F86-K86</f>
        <v>58549.91000000006</v>
      </c>
      <c r="M86" s="219">
        <f t="shared" si="24"/>
        <v>1.3945860287486864</v>
      </c>
      <c r="N86" s="190">
        <f>N64+N85</f>
        <v>110041.6</v>
      </c>
      <c r="O86" s="190">
        <f>O64+O85</f>
        <v>108729.81</v>
      </c>
      <c r="P86" s="192">
        <f t="shared" si="22"/>
        <v>-1311.7900000000081</v>
      </c>
      <c r="Q86" s="192">
        <f>O86/N86*100</f>
        <v>98.80791446144002</v>
      </c>
      <c r="R86" s="26">
        <f>O86-42872.96</f>
        <v>65856.85</v>
      </c>
      <c r="S86" s="94">
        <f>O86/42872.96</f>
        <v>2.536092912642374</v>
      </c>
      <c r="T86" s="145">
        <f t="shared" si="23"/>
        <v>1394738.1300000001</v>
      </c>
    </row>
    <row r="87" spans="2:20" ht="15">
      <c r="B87" s="20" t="s">
        <v>34</v>
      </c>
      <c r="O87" s="25"/>
      <c r="T87" s="145">
        <f t="shared" si="23"/>
        <v>0</v>
      </c>
    </row>
    <row r="88" spans="2:20" ht="15">
      <c r="B88" s="4" t="s">
        <v>36</v>
      </c>
      <c r="C88" s="75">
        <v>0</v>
      </c>
      <c r="D88" s="4" t="s">
        <v>35</v>
      </c>
      <c r="O88" s="77"/>
      <c r="T88" s="145" t="e">
        <f t="shared" si="23"/>
        <v>#VALUE!</v>
      </c>
    </row>
    <row r="89" spans="2:20" ht="30.75">
      <c r="B89" s="51" t="s">
        <v>53</v>
      </c>
      <c r="C89" s="28" t="e">
        <f>IF(P64&lt;0,ABS(P64/C88),0)</f>
        <v>#DIV/0!</v>
      </c>
      <c r="D89" s="4" t="s">
        <v>24</v>
      </c>
      <c r="G89" s="307"/>
      <c r="H89" s="307"/>
      <c r="I89" s="307"/>
      <c r="J89" s="307"/>
      <c r="K89" s="83"/>
      <c r="L89" s="83"/>
      <c r="M89" s="83"/>
      <c r="Q89" s="25"/>
      <c r="R89" s="25"/>
      <c r="T89" s="145" t="e">
        <f t="shared" si="23"/>
        <v>#VALUE!</v>
      </c>
    </row>
    <row r="90" spans="2:20" ht="34.5" customHeight="1">
      <c r="B90" s="52" t="s">
        <v>55</v>
      </c>
      <c r="C90" s="80">
        <v>42794</v>
      </c>
      <c r="D90" s="28">
        <v>11703.5</v>
      </c>
      <c r="G90" s="4" t="s">
        <v>58</v>
      </c>
      <c r="O90" s="308"/>
      <c r="P90" s="308"/>
      <c r="T90" s="145">
        <f t="shared" si="23"/>
        <v>11703.5</v>
      </c>
    </row>
    <row r="91" spans="3:16" ht="15">
      <c r="C91" s="80">
        <v>42793</v>
      </c>
      <c r="D91" s="28">
        <v>10341.3</v>
      </c>
      <c r="F91" s="112" t="s">
        <v>58</v>
      </c>
      <c r="G91" s="311"/>
      <c r="H91" s="311"/>
      <c r="I91" s="117"/>
      <c r="J91" s="312"/>
      <c r="K91" s="312"/>
      <c r="L91" s="312"/>
      <c r="M91" s="312"/>
      <c r="N91" s="312"/>
      <c r="O91" s="308"/>
      <c r="P91" s="308"/>
    </row>
    <row r="92" spans="3:16" ht="15.75" customHeight="1">
      <c r="C92" s="80">
        <v>42790</v>
      </c>
      <c r="D92" s="28">
        <v>4206.9</v>
      </c>
      <c r="F92" s="67"/>
      <c r="G92" s="311"/>
      <c r="H92" s="311"/>
      <c r="I92" s="117"/>
      <c r="J92" s="313"/>
      <c r="K92" s="313"/>
      <c r="L92" s="313"/>
      <c r="M92" s="313"/>
      <c r="N92" s="313"/>
      <c r="O92" s="308"/>
      <c r="P92" s="308"/>
    </row>
    <row r="93" spans="3:14" ht="15.75" customHeight="1">
      <c r="C93" s="80"/>
      <c r="F93" s="67"/>
      <c r="G93" s="320"/>
      <c r="H93" s="320"/>
      <c r="I93" s="123"/>
      <c r="J93" s="312"/>
      <c r="K93" s="312"/>
      <c r="L93" s="312"/>
      <c r="M93" s="312"/>
      <c r="N93" s="312"/>
    </row>
    <row r="94" spans="2:14" ht="18.75" customHeight="1">
      <c r="B94" s="321" t="s">
        <v>56</v>
      </c>
      <c r="C94" s="322"/>
      <c r="D94" s="132">
        <v>7713.34596</v>
      </c>
      <c r="E94" s="68"/>
      <c r="F94" s="124" t="s">
        <v>105</v>
      </c>
      <c r="G94" s="311"/>
      <c r="H94" s="311"/>
      <c r="I94" s="125"/>
      <c r="J94" s="312"/>
      <c r="K94" s="312"/>
      <c r="L94" s="312"/>
      <c r="M94" s="312"/>
      <c r="N94" s="312"/>
    </row>
    <row r="95" spans="6:13" ht="9.75" customHeight="1">
      <c r="F95" s="67"/>
      <c r="G95" s="311"/>
      <c r="H95" s="311"/>
      <c r="I95" s="67"/>
      <c r="J95" s="68"/>
      <c r="K95" s="68"/>
      <c r="L95" s="68"/>
      <c r="M95" s="68"/>
    </row>
    <row r="96" spans="2:13" ht="22.5" customHeight="1" hidden="1">
      <c r="B96" s="317" t="s">
        <v>59</v>
      </c>
      <c r="C96" s="318"/>
      <c r="D96" s="79">
        <v>0</v>
      </c>
      <c r="E96" s="50" t="s">
        <v>24</v>
      </c>
      <c r="F96" s="67"/>
      <c r="G96" s="311"/>
      <c r="H96" s="311"/>
      <c r="I96" s="67"/>
      <c r="J96" s="68"/>
      <c r="K96" s="68"/>
      <c r="L96" s="68"/>
      <c r="M96" s="68"/>
    </row>
    <row r="97" spans="4:16" ht="15" hidden="1">
      <c r="D97" s="67">
        <f>D45+D48+D49</f>
        <v>1060</v>
      </c>
      <c r="E97" s="67">
        <f>E45+E48+E49</f>
        <v>172</v>
      </c>
      <c r="F97" s="201">
        <f>F45+F48+F49</f>
        <v>282.83</v>
      </c>
      <c r="G97" s="67">
        <f>G45+G48+G49</f>
        <v>110.82999999999998</v>
      </c>
      <c r="H97" s="68"/>
      <c r="I97" s="68"/>
      <c r="N97" s="28">
        <f>N45+N48+N49</f>
        <v>86</v>
      </c>
      <c r="O97" s="200">
        <f>O45+O48+O49</f>
        <v>148.84999999999997</v>
      </c>
      <c r="P97" s="28">
        <f>P45+P48+P49</f>
        <v>62.84999999999998</v>
      </c>
    </row>
    <row r="98" spans="4:16" ht="15" hidden="1">
      <c r="D98" s="77"/>
      <c r="I98" s="28"/>
      <c r="O98" s="319"/>
      <c r="P98" s="319"/>
    </row>
    <row r="99" spans="2:17" ht="15" hidden="1">
      <c r="B99" s="4" t="s">
        <v>116</v>
      </c>
      <c r="D99" s="28">
        <f>D9+D15+D17+D18+D19+D20+D39+D42+D56+D62+D63</f>
        <v>1299048.6</v>
      </c>
      <c r="E99" s="28">
        <f>E9+E15+E17+E18+E19+E20+E39+E42+E56+E62+E63</f>
        <v>196330.5</v>
      </c>
      <c r="F99" s="227">
        <f>F9+F15+F17+F18+F19+F20+F39+F42+F56+F62+F63</f>
        <v>194847.62000000005</v>
      </c>
      <c r="G99" s="28">
        <f>F99-E99</f>
        <v>-1482.8799999999464</v>
      </c>
      <c r="H99" s="228">
        <f>F99/E99</f>
        <v>0.9924470217312137</v>
      </c>
      <c r="I99" s="28">
        <f>F99-D99</f>
        <v>-1104200.98</v>
      </c>
      <c r="J99" s="228">
        <f>F99/D99</f>
        <v>0.14999255609066514</v>
      </c>
      <c r="N99" s="28">
        <f>N9+N15+N17+N18+N19+N20+N39+N42+N44+N56+N62+N63</f>
        <v>101968.6</v>
      </c>
      <c r="O99" s="227">
        <f>O9+O15+O17+O18+O19+O20+O39+O42+O44+O56+O62+O63</f>
        <v>100979.31</v>
      </c>
      <c r="P99" s="28">
        <f>O99-N99</f>
        <v>-989.2900000000081</v>
      </c>
      <c r="Q99" s="228">
        <f>O99/N99</f>
        <v>0.9902980917655042</v>
      </c>
    </row>
    <row r="100" spans="2:17" ht="15" hidden="1">
      <c r="B100" s="4" t="s">
        <v>117</v>
      </c>
      <c r="D100" s="28">
        <f>D40+D41+D43+D45+D47+D48+D49+D50+D51+D57+D61+D44</f>
        <v>58442.5</v>
      </c>
      <c r="E100" s="28">
        <f>E40+E41+E43+E45+E47+E48+E49+E50+E51+E57+E61+E44</f>
        <v>7691.6</v>
      </c>
      <c r="F100" s="227">
        <f>F40+F41+F43+F45+F47+F48+F49+F50+F51+F57+F61+F44</f>
        <v>8678.749999999998</v>
      </c>
      <c r="G100" s="28">
        <f>G40+G41+G43+G45+G47+G48+G49+G50+G51+G57+G61+G44</f>
        <v>987.1499999999996</v>
      </c>
      <c r="H100" s="228">
        <f>F100/E100</f>
        <v>1.1283413074002806</v>
      </c>
      <c r="I100" s="28">
        <f>I40+I41+I43+I45+I47+I48+I49+I50+I51+I57+I61+I44</f>
        <v>-49763.74999999999</v>
      </c>
      <c r="J100" s="228">
        <f>F100/D100</f>
        <v>0.14850066304487314</v>
      </c>
      <c r="K100" s="28">
        <f aca="true" t="shared" si="25" ref="K100:P100">K40+K41+K43+K45+K47+K48+K49+K50+K51+K57+K61+K44</f>
        <v>4835.679999999999</v>
      </c>
      <c r="L100" s="28">
        <f t="shared" si="25"/>
        <v>3843.0699999999997</v>
      </c>
      <c r="M100" s="28">
        <f t="shared" si="25"/>
        <v>32.174115396616955</v>
      </c>
      <c r="N100" s="28">
        <f t="shared" si="25"/>
        <v>4703.8</v>
      </c>
      <c r="O100" s="227">
        <f t="shared" si="25"/>
        <v>4460.869999999999</v>
      </c>
      <c r="P100" s="28">
        <f t="shared" si="25"/>
        <v>-236.13000000000017</v>
      </c>
      <c r="Q100" s="228">
        <f>O100/N100</f>
        <v>0.9483545218759298</v>
      </c>
    </row>
    <row r="101" spans="2:17" ht="15" hidden="1">
      <c r="B101" s="4" t="s">
        <v>118</v>
      </c>
      <c r="D101" s="28">
        <f>SUM(D99:D100)</f>
        <v>1357491.1</v>
      </c>
      <c r="E101" s="28">
        <f aca="true" t="shared" si="26" ref="E101:P101">SUM(E99:E100)</f>
        <v>204022.1</v>
      </c>
      <c r="F101" s="227">
        <f t="shared" si="26"/>
        <v>203526.37000000005</v>
      </c>
      <c r="G101" s="28">
        <f t="shared" si="26"/>
        <v>-495.7299999999468</v>
      </c>
      <c r="H101" s="228">
        <f>F101/E101</f>
        <v>0.9975702142071866</v>
      </c>
      <c r="I101" s="28">
        <f t="shared" si="26"/>
        <v>-1153964.73</v>
      </c>
      <c r="J101" s="228">
        <f>F101/D101</f>
        <v>0.14992832733857336</v>
      </c>
      <c r="K101" s="28">
        <f t="shared" si="26"/>
        <v>4835.679999999999</v>
      </c>
      <c r="L101" s="28">
        <f t="shared" si="26"/>
        <v>3843.0699999999997</v>
      </c>
      <c r="M101" s="28">
        <f t="shared" si="26"/>
        <v>32.174115396616955</v>
      </c>
      <c r="N101" s="28">
        <f t="shared" si="26"/>
        <v>106672.40000000001</v>
      </c>
      <c r="O101" s="227">
        <f t="shared" si="26"/>
        <v>105440.18</v>
      </c>
      <c r="P101" s="28">
        <f t="shared" si="26"/>
        <v>-1225.4200000000083</v>
      </c>
      <c r="Q101" s="228">
        <f>O101/N101</f>
        <v>0.9884485583899864</v>
      </c>
    </row>
    <row r="102" spans="4:21" ht="15" hidden="1">
      <c r="D102" s="28">
        <f>D64-D101</f>
        <v>0</v>
      </c>
      <c r="E102" s="28">
        <f aca="true" t="shared" si="27" ref="E102:U102">E64-E101</f>
        <v>0</v>
      </c>
      <c r="F102" s="28">
        <f t="shared" si="27"/>
        <v>0</v>
      </c>
      <c r="G102" s="28">
        <f t="shared" si="27"/>
        <v>-5.4569682106375694E-12</v>
      </c>
      <c r="H102" s="228"/>
      <c r="I102" s="28">
        <f t="shared" si="27"/>
        <v>0</v>
      </c>
      <c r="J102" s="228"/>
      <c r="K102" s="28">
        <f t="shared" si="27"/>
        <v>140507.58000000002</v>
      </c>
      <c r="L102" s="28">
        <f t="shared" si="27"/>
        <v>54340.040000000045</v>
      </c>
      <c r="M102" s="28">
        <f t="shared" si="27"/>
        <v>-30.77380023924399</v>
      </c>
      <c r="N102" s="28">
        <f t="shared" si="27"/>
        <v>-6.80000000000291</v>
      </c>
      <c r="O102" s="28">
        <f t="shared" si="27"/>
        <v>0</v>
      </c>
      <c r="P102" s="28">
        <f t="shared" si="27"/>
        <v>-4.547473508864641E-12</v>
      </c>
      <c r="Q102" s="28"/>
      <c r="R102" s="28">
        <f t="shared" si="27"/>
        <v>70672.18</v>
      </c>
      <c r="S102" s="28">
        <f t="shared" si="27"/>
        <v>3.0326789001380576</v>
      </c>
      <c r="T102" s="28">
        <f t="shared" si="27"/>
        <v>1153469</v>
      </c>
      <c r="U102" s="28">
        <f t="shared" si="27"/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" right="0" top="0.15748031496062992" bottom="0.15748031496062992" header="0" footer="0"/>
  <pageSetup fitToHeight="1" fitToWidth="1" orientation="portrait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81" zoomScaleNormal="81" zoomScalePageLayoutView="0" workbookViewId="0" topLeftCell="B1">
      <pane xSplit="2" ySplit="8" topLeftCell="D2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H15" sqref="H1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8" width="11.00390625" style="4" hidden="1" customWidth="1"/>
    <col min="19" max="19" width="11.00390625" style="88" hidden="1" customWidth="1"/>
    <col min="20" max="20" width="9.125" style="4" hidden="1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287" t="s">
        <v>131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85"/>
      <c r="S1" s="86"/>
    </row>
    <row r="2" spans="2:19" s="1" customFormat="1" ht="15.75" customHeight="1">
      <c r="B2" s="288"/>
      <c r="C2" s="288"/>
      <c r="D2" s="288"/>
      <c r="E2" s="2"/>
      <c r="F2" s="111"/>
      <c r="G2" s="2"/>
      <c r="H2" s="2"/>
      <c r="I2" s="1" t="s">
        <v>127</v>
      </c>
      <c r="M2" s="1" t="s">
        <v>24</v>
      </c>
      <c r="Q2" s="17" t="s">
        <v>24</v>
      </c>
      <c r="R2" s="17"/>
      <c r="S2" s="87"/>
    </row>
    <row r="3" spans="1:19" s="3" customFormat="1" ht="13.5" customHeight="1">
      <c r="A3" s="289"/>
      <c r="B3" s="291"/>
      <c r="C3" s="292" t="s">
        <v>0</v>
      </c>
      <c r="D3" s="293" t="s">
        <v>121</v>
      </c>
      <c r="E3" s="31"/>
      <c r="F3" s="294" t="s">
        <v>26</v>
      </c>
      <c r="G3" s="295"/>
      <c r="H3" s="295"/>
      <c r="I3" s="295"/>
      <c r="J3" s="296"/>
      <c r="K3" s="82"/>
      <c r="L3" s="82"/>
      <c r="M3" s="82"/>
      <c r="N3" s="297" t="s">
        <v>119</v>
      </c>
      <c r="O3" s="300" t="s">
        <v>115</v>
      </c>
      <c r="P3" s="300"/>
      <c r="Q3" s="300"/>
      <c r="R3" s="300"/>
      <c r="S3" s="300"/>
    </row>
    <row r="4" spans="1:19" ht="22.5" customHeight="1">
      <c r="A4" s="289"/>
      <c r="B4" s="291"/>
      <c r="C4" s="292"/>
      <c r="D4" s="293"/>
      <c r="E4" s="283" t="s">
        <v>122</v>
      </c>
      <c r="F4" s="309" t="s">
        <v>33</v>
      </c>
      <c r="G4" s="301" t="s">
        <v>123</v>
      </c>
      <c r="H4" s="298" t="s">
        <v>124</v>
      </c>
      <c r="I4" s="301" t="s">
        <v>125</v>
      </c>
      <c r="J4" s="298" t="s">
        <v>126</v>
      </c>
      <c r="K4" s="84" t="s">
        <v>128</v>
      </c>
      <c r="L4" s="202" t="s">
        <v>111</v>
      </c>
      <c r="M4" s="89" t="s">
        <v>63</v>
      </c>
      <c r="N4" s="298"/>
      <c r="O4" s="285" t="s">
        <v>120</v>
      </c>
      <c r="P4" s="301" t="s">
        <v>49</v>
      </c>
      <c r="Q4" s="303" t="s">
        <v>48</v>
      </c>
      <c r="R4" s="90" t="s">
        <v>64</v>
      </c>
      <c r="S4" s="91" t="s">
        <v>63</v>
      </c>
    </row>
    <row r="5" spans="1:19" ht="67.5" customHeight="1">
      <c r="A5" s="290"/>
      <c r="B5" s="291"/>
      <c r="C5" s="292"/>
      <c r="D5" s="293"/>
      <c r="E5" s="284"/>
      <c r="F5" s="310"/>
      <c r="G5" s="302"/>
      <c r="H5" s="299"/>
      <c r="I5" s="302"/>
      <c r="J5" s="299"/>
      <c r="K5" s="304" t="s">
        <v>129</v>
      </c>
      <c r="L5" s="305"/>
      <c r="M5" s="306"/>
      <c r="N5" s="299"/>
      <c r="O5" s="286"/>
      <c r="P5" s="302"/>
      <c r="Q5" s="303"/>
      <c r="R5" s="304" t="s">
        <v>102</v>
      </c>
      <c r="S5" s="306"/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19" s="6" customFormat="1" ht="17.25">
      <c r="A8" s="7"/>
      <c r="B8" s="152" t="s">
        <v>9</v>
      </c>
      <c r="C8" s="69" t="s">
        <v>10</v>
      </c>
      <c r="D8" s="149">
        <f>D9+D15+D18+D19+D20+D37+D17</f>
        <v>1298451.1</v>
      </c>
      <c r="E8" s="149">
        <f>E9+E15+E18+E19+E20+E37+E17</f>
        <v>94367.5</v>
      </c>
      <c r="F8" s="149">
        <f>F9+F15+F18+F19+F20+F37+F17</f>
        <v>93856.97</v>
      </c>
      <c r="G8" s="149">
        <f aca="true" t="shared" si="0" ref="G8:G37">F8-E8</f>
        <v>-510.52999999999884</v>
      </c>
      <c r="H8" s="150">
        <f>F8/E8*100</f>
        <v>99.45899806607147</v>
      </c>
      <c r="I8" s="151">
        <f>F8-D8</f>
        <v>-1204594.1300000001</v>
      </c>
      <c r="J8" s="151">
        <f>F8/D8*100</f>
        <v>7.228379258949374</v>
      </c>
      <c r="K8" s="149">
        <v>60580.63</v>
      </c>
      <c r="L8" s="149">
        <f aca="true" t="shared" si="1" ref="L8:L51">F8-K8</f>
        <v>33276.340000000004</v>
      </c>
      <c r="M8" s="203">
        <f aca="true" t="shared" si="2" ref="M8:M28">F8/K8</f>
        <v>1.5492900948702581</v>
      </c>
      <c r="N8" s="149" t="e">
        <f>N9+N15+N18+N19+N20+N17</f>
        <v>#REF!</v>
      </c>
      <c r="O8" s="149" t="e">
        <f>O9+O15+O18+O19+O20+O17</f>
        <v>#REF!</v>
      </c>
      <c r="P8" s="149" t="e">
        <f>O8-N8</f>
        <v>#REF!</v>
      </c>
      <c r="Q8" s="149" t="e">
        <f>O8/N8*100</f>
        <v>#REF!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2">
        <v>11010000</v>
      </c>
      <c r="D9" s="148">
        <v>766645</v>
      </c>
      <c r="E9" s="148">
        <v>47700</v>
      </c>
      <c r="F9" s="154">
        <v>46924.93</v>
      </c>
      <c r="G9" s="148">
        <f t="shared" si="0"/>
        <v>-775.0699999999997</v>
      </c>
      <c r="H9" s="155">
        <f>F9/E9*100</f>
        <v>98.37511530398324</v>
      </c>
      <c r="I9" s="156">
        <f>F9-D9</f>
        <v>-719720.07</v>
      </c>
      <c r="J9" s="156">
        <f>F9/D9*100</f>
        <v>6.120816023061521</v>
      </c>
      <c r="K9" s="225">
        <v>30213.27</v>
      </c>
      <c r="L9" s="157">
        <f t="shared" si="1"/>
        <v>16711.66</v>
      </c>
      <c r="M9" s="204">
        <f t="shared" si="2"/>
        <v>1.5531231806421484</v>
      </c>
      <c r="N9" s="155" t="e">
        <f>E9-#REF!</f>
        <v>#REF!</v>
      </c>
      <c r="O9" s="158" t="e">
        <f>F9-#REF!</f>
        <v>#REF!</v>
      </c>
      <c r="P9" s="159" t="e">
        <f>O9-N9</f>
        <v>#REF!</v>
      </c>
      <c r="Q9" s="156" t="e">
        <f>O9/N9*100</f>
        <v>#REF!</v>
      </c>
      <c r="R9" s="99"/>
      <c r="S9" s="100"/>
      <c r="T9" s="145">
        <f>D9-E9</f>
        <v>718945</v>
      </c>
    </row>
    <row r="10" spans="1:20" s="6" customFormat="1" ht="18" hidden="1">
      <c r="A10" s="8"/>
      <c r="B10" s="120" t="s">
        <v>89</v>
      </c>
      <c r="C10" s="101">
        <v>11010100</v>
      </c>
      <c r="D10" s="102">
        <v>701317</v>
      </c>
      <c r="E10" s="102">
        <v>43284</v>
      </c>
      <c r="F10" s="138">
        <v>43142.93</v>
      </c>
      <c r="G10" s="102">
        <f t="shared" si="0"/>
        <v>-141.0699999999997</v>
      </c>
      <c r="H10" s="29">
        <f aca="true" t="shared" si="3" ref="H10:H36">F10/E10*100</f>
        <v>99.67408280195914</v>
      </c>
      <c r="I10" s="103">
        <f aca="true" t="shared" si="4" ref="I10:I37">F10-D10</f>
        <v>-658174.07</v>
      </c>
      <c r="J10" s="103">
        <f aca="true" t="shared" si="5" ref="J10:J36">F10/D10*100</f>
        <v>6.15170172689383</v>
      </c>
      <c r="K10" s="105">
        <v>26883.84</v>
      </c>
      <c r="L10" s="105">
        <f t="shared" si="1"/>
        <v>16259.09</v>
      </c>
      <c r="M10" s="205">
        <f t="shared" si="2"/>
        <v>1.604790461481693</v>
      </c>
      <c r="N10" s="104" t="e">
        <f>E10-#REF!</f>
        <v>#REF!</v>
      </c>
      <c r="O10" s="142" t="e">
        <f>F10-#REF!</f>
        <v>#REF!</v>
      </c>
      <c r="P10" s="105" t="e">
        <f aca="true" t="shared" si="6" ref="P10:P37">O10-N10</f>
        <v>#REF!</v>
      </c>
      <c r="Q10" s="156" t="e">
        <f aca="true" t="shared" si="7" ref="Q10:Q16">O10/N10*100</f>
        <v>#REF!</v>
      </c>
      <c r="R10" s="36"/>
      <c r="S10" s="93"/>
      <c r="T10" s="145">
        <f aca="true" t="shared" si="8" ref="T10:T73">D10-E10</f>
        <v>658033</v>
      </c>
    </row>
    <row r="11" spans="1:20" s="6" customFormat="1" ht="18" hidden="1">
      <c r="A11" s="8"/>
      <c r="B11" s="120" t="s">
        <v>85</v>
      </c>
      <c r="C11" s="101">
        <v>11010200</v>
      </c>
      <c r="D11" s="102">
        <v>46506</v>
      </c>
      <c r="E11" s="102">
        <v>3600</v>
      </c>
      <c r="F11" s="138">
        <v>2681.7</v>
      </c>
      <c r="G11" s="102">
        <f t="shared" si="0"/>
        <v>-918.3000000000002</v>
      </c>
      <c r="H11" s="29">
        <f t="shared" si="3"/>
        <v>74.49166666666667</v>
      </c>
      <c r="I11" s="103">
        <f t="shared" si="4"/>
        <v>-43824.3</v>
      </c>
      <c r="J11" s="103">
        <f t="shared" si="5"/>
        <v>5.76635272868017</v>
      </c>
      <c r="K11" s="105">
        <v>2684.94</v>
      </c>
      <c r="L11" s="105">
        <f t="shared" si="1"/>
        <v>-3.2400000000002365</v>
      </c>
      <c r="M11" s="205">
        <f t="shared" si="2"/>
        <v>0.9987932691233323</v>
      </c>
      <c r="N11" s="104" t="e">
        <f>E11-#REF!</f>
        <v>#REF!</v>
      </c>
      <c r="O11" s="142" t="e">
        <f>F11-#REF!</f>
        <v>#REF!</v>
      </c>
      <c r="P11" s="105" t="e">
        <f t="shared" si="6"/>
        <v>#REF!</v>
      </c>
      <c r="Q11" s="156" t="e">
        <f t="shared" si="7"/>
        <v>#REF!</v>
      </c>
      <c r="R11" s="36"/>
      <c r="S11" s="93"/>
      <c r="T11" s="145">
        <f t="shared" si="8"/>
        <v>42906</v>
      </c>
    </row>
    <row r="12" spans="1:20" s="6" customFormat="1" ht="18" hidden="1">
      <c r="A12" s="8"/>
      <c r="B12" s="120" t="s">
        <v>88</v>
      </c>
      <c r="C12" s="101">
        <v>11010400</v>
      </c>
      <c r="D12" s="102">
        <v>8280</v>
      </c>
      <c r="E12" s="102">
        <v>420</v>
      </c>
      <c r="F12" s="138">
        <v>500.43</v>
      </c>
      <c r="G12" s="102">
        <f t="shared" si="0"/>
        <v>80.43</v>
      </c>
      <c r="H12" s="29">
        <f t="shared" si="3"/>
        <v>119.15</v>
      </c>
      <c r="I12" s="103">
        <f t="shared" si="4"/>
        <v>-7779.57</v>
      </c>
      <c r="J12" s="103">
        <f t="shared" si="5"/>
        <v>6.043840579710145</v>
      </c>
      <c r="K12" s="105">
        <v>433.61</v>
      </c>
      <c r="L12" s="105">
        <f t="shared" si="1"/>
        <v>66.82</v>
      </c>
      <c r="M12" s="205">
        <f t="shared" si="2"/>
        <v>1.1541016120476926</v>
      </c>
      <c r="N12" s="104" t="e">
        <f>E12-#REF!</f>
        <v>#REF!</v>
      </c>
      <c r="O12" s="142" t="e">
        <f>F12-#REF!</f>
        <v>#REF!</v>
      </c>
      <c r="P12" s="105" t="e">
        <f t="shared" si="6"/>
        <v>#REF!</v>
      </c>
      <c r="Q12" s="156" t="e">
        <f t="shared" si="7"/>
        <v>#REF!</v>
      </c>
      <c r="R12" s="36"/>
      <c r="S12" s="93"/>
      <c r="T12" s="145">
        <f t="shared" si="8"/>
        <v>7860</v>
      </c>
    </row>
    <row r="13" spans="1:20" s="6" customFormat="1" ht="18" hidden="1">
      <c r="A13" s="8"/>
      <c r="B13" s="120" t="s">
        <v>86</v>
      </c>
      <c r="C13" s="101">
        <v>11010500</v>
      </c>
      <c r="D13" s="102">
        <v>9390</v>
      </c>
      <c r="E13" s="102">
        <v>300</v>
      </c>
      <c r="F13" s="138">
        <v>499.36</v>
      </c>
      <c r="G13" s="102">
        <f t="shared" si="0"/>
        <v>199.36</v>
      </c>
      <c r="H13" s="29">
        <f t="shared" si="3"/>
        <v>166.45333333333335</v>
      </c>
      <c r="I13" s="103">
        <f t="shared" si="4"/>
        <v>-8890.64</v>
      </c>
      <c r="J13" s="103">
        <f t="shared" si="5"/>
        <v>5.317997870074548</v>
      </c>
      <c r="K13" s="105">
        <v>209.84</v>
      </c>
      <c r="L13" s="105">
        <f t="shared" si="1"/>
        <v>289.52</v>
      </c>
      <c r="M13" s="205">
        <f t="shared" si="2"/>
        <v>2.3797178802897445</v>
      </c>
      <c r="N13" s="104" t="e">
        <f>E13-#REF!</f>
        <v>#REF!</v>
      </c>
      <c r="O13" s="142" t="e">
        <f>F13-#REF!</f>
        <v>#REF!</v>
      </c>
      <c r="P13" s="105" t="e">
        <f t="shared" si="6"/>
        <v>#REF!</v>
      </c>
      <c r="Q13" s="156" t="e">
        <f t="shared" si="7"/>
        <v>#REF!</v>
      </c>
      <c r="R13" s="36"/>
      <c r="S13" s="93"/>
      <c r="T13" s="145">
        <f t="shared" si="8"/>
        <v>9090</v>
      </c>
    </row>
    <row r="14" spans="1:22" s="6" customFormat="1" ht="18" hidden="1">
      <c r="A14" s="8"/>
      <c r="B14" s="120" t="s">
        <v>87</v>
      </c>
      <c r="C14" s="101">
        <v>11010900</v>
      </c>
      <c r="D14" s="102">
        <v>1152</v>
      </c>
      <c r="E14" s="102">
        <v>96</v>
      </c>
      <c r="F14" s="138">
        <v>100.5</v>
      </c>
      <c r="G14" s="102">
        <f t="shared" si="0"/>
        <v>4.5</v>
      </c>
      <c r="H14" s="29">
        <f t="shared" si="3"/>
        <v>104.6875</v>
      </c>
      <c r="I14" s="103">
        <f t="shared" si="4"/>
        <v>-1051.5</v>
      </c>
      <c r="J14" s="103">
        <f t="shared" si="5"/>
        <v>8.723958333333332</v>
      </c>
      <c r="K14" s="105">
        <v>1.04</v>
      </c>
      <c r="L14" s="105">
        <f t="shared" si="1"/>
        <v>99.46</v>
      </c>
      <c r="M14" s="205">
        <f t="shared" si="2"/>
        <v>96.63461538461539</v>
      </c>
      <c r="N14" s="104" t="e">
        <f>E14-#REF!</f>
        <v>#REF!</v>
      </c>
      <c r="O14" s="142" t="e">
        <f>F14-#REF!</f>
        <v>#REF!</v>
      </c>
      <c r="P14" s="105" t="e">
        <f t="shared" si="6"/>
        <v>#REF!</v>
      </c>
      <c r="Q14" s="156" t="e">
        <f t="shared" si="7"/>
        <v>#REF!</v>
      </c>
      <c r="R14" s="36"/>
      <c r="S14" s="93"/>
      <c r="T14" s="145">
        <f t="shared" si="8"/>
        <v>1056</v>
      </c>
      <c r="U14" s="222">
        <v>2880</v>
      </c>
      <c r="V14" s="145">
        <f>U14-T14</f>
        <v>1824</v>
      </c>
    </row>
    <row r="15" spans="1:20" s="6" customFormat="1" ht="30.75">
      <c r="A15" s="8"/>
      <c r="B15" s="12" t="s">
        <v>11</v>
      </c>
      <c r="C15" s="42">
        <v>11020200</v>
      </c>
      <c r="D15" s="148">
        <v>551</v>
      </c>
      <c r="E15" s="148">
        <v>0</v>
      </c>
      <c r="F15" s="154">
        <v>0</v>
      </c>
      <c r="G15" s="148">
        <f t="shared" si="0"/>
        <v>0</v>
      </c>
      <c r="H15" s="155"/>
      <c r="I15" s="156">
        <f t="shared" si="4"/>
        <v>-551</v>
      </c>
      <c r="J15" s="156">
        <f t="shared" si="5"/>
        <v>0</v>
      </c>
      <c r="K15" s="159">
        <v>0</v>
      </c>
      <c r="L15" s="159">
        <f t="shared" si="1"/>
        <v>0</v>
      </c>
      <c r="M15" s="206"/>
      <c r="N15" s="155" t="e">
        <f>E15-#REF!</f>
        <v>#REF!</v>
      </c>
      <c r="O15" s="158" t="e">
        <f>F15-#REF!</f>
        <v>#REF!</v>
      </c>
      <c r="P15" s="159" t="e">
        <f t="shared" si="6"/>
        <v>#REF!</v>
      </c>
      <c r="Q15" s="156" t="e">
        <f t="shared" si="7"/>
        <v>#REF!</v>
      </c>
      <c r="R15" s="36"/>
      <c r="S15" s="93"/>
      <c r="T15" s="145">
        <f t="shared" si="8"/>
        <v>551</v>
      </c>
    </row>
    <row r="16" spans="1:20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29"/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/>
      <c r="N16" s="155" t="e">
        <f>E16-#REF!</f>
        <v>#REF!</v>
      </c>
      <c r="O16" s="158" t="e">
        <f>F16-#REF!</f>
        <v>#REF!</v>
      </c>
      <c r="P16" s="35" t="e">
        <f t="shared" si="6"/>
        <v>#REF!</v>
      </c>
      <c r="Q16" s="156" t="e">
        <f t="shared" si="7"/>
        <v>#REF!</v>
      </c>
      <c r="R16" s="103" t="e">
        <f>O16-358.81</f>
        <v>#REF!</v>
      </c>
      <c r="S16" s="108" t="e">
        <f>O16/358.79</f>
        <v>#REF!</v>
      </c>
      <c r="T16" s="145">
        <f t="shared" si="8"/>
        <v>0</v>
      </c>
    </row>
    <row r="17" spans="1:20" s="6" customFormat="1" ht="30.75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62"/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/>
      <c r="N17" s="155" t="e">
        <f>E17-#REF!</f>
        <v>#REF!</v>
      </c>
      <c r="O17" s="158" t="e">
        <f>F17-#REF!</f>
        <v>#REF!</v>
      </c>
      <c r="P17" s="165" t="e">
        <f t="shared" si="6"/>
        <v>#REF!</v>
      </c>
      <c r="Q17" s="156"/>
      <c r="R17" s="103"/>
      <c r="S17" s="108"/>
      <c r="T17" s="145">
        <f t="shared" si="8"/>
        <v>0</v>
      </c>
    </row>
    <row r="18" spans="1:20" s="6" customFormat="1" ht="30.75">
      <c r="A18" s="8"/>
      <c r="B18" s="13" t="s">
        <v>114</v>
      </c>
      <c r="C18" s="42">
        <v>13030200</v>
      </c>
      <c r="D18" s="148">
        <v>125</v>
      </c>
      <c r="E18" s="148">
        <v>0</v>
      </c>
      <c r="F18" s="154">
        <v>0</v>
      </c>
      <c r="G18" s="148">
        <f t="shared" si="0"/>
        <v>0</v>
      </c>
      <c r="H18" s="155"/>
      <c r="I18" s="156">
        <f t="shared" si="4"/>
        <v>-125</v>
      </c>
      <c r="J18" s="156">
        <f t="shared" si="5"/>
        <v>0</v>
      </c>
      <c r="K18" s="159">
        <v>0</v>
      </c>
      <c r="L18" s="159">
        <f t="shared" si="1"/>
        <v>0</v>
      </c>
      <c r="M18" s="206"/>
      <c r="N18" s="155" t="e">
        <f>E18-#REF!</f>
        <v>#REF!</v>
      </c>
      <c r="O18" s="158" t="e">
        <f>F18-#REF!</f>
        <v>#REF!</v>
      </c>
      <c r="P18" s="159" t="e">
        <f t="shared" si="6"/>
        <v>#REF!</v>
      </c>
      <c r="Q18" s="156"/>
      <c r="R18" s="36"/>
      <c r="S18" s="93"/>
      <c r="T18" s="145">
        <f t="shared" si="8"/>
        <v>125</v>
      </c>
    </row>
    <row r="19" spans="1:20" s="6" customFormat="1" ht="46.5">
      <c r="A19" s="8"/>
      <c r="B19" s="43" t="s">
        <v>72</v>
      </c>
      <c r="C19" s="42">
        <v>14040000</v>
      </c>
      <c r="D19" s="148">
        <v>130000</v>
      </c>
      <c r="E19" s="148">
        <f>8500+1200</f>
        <v>9700</v>
      </c>
      <c r="F19" s="154">
        <v>9751.75</v>
      </c>
      <c r="G19" s="148">
        <f t="shared" si="0"/>
        <v>51.75</v>
      </c>
      <c r="H19" s="155">
        <f t="shared" si="3"/>
        <v>100.53350515463917</v>
      </c>
      <c r="I19" s="156">
        <f t="shared" si="4"/>
        <v>-120248.25</v>
      </c>
      <c r="J19" s="156">
        <f t="shared" si="5"/>
        <v>7.501346153846154</v>
      </c>
      <c r="K19" s="167">
        <v>5560</v>
      </c>
      <c r="L19" s="159">
        <f t="shared" si="1"/>
        <v>4191.75</v>
      </c>
      <c r="M19" s="211">
        <f t="shared" si="2"/>
        <v>1.7539118705035972</v>
      </c>
      <c r="N19" s="155" t="e">
        <f>E19-#REF!</f>
        <v>#REF!</v>
      </c>
      <c r="O19" s="158" t="e">
        <f>F19-#REF!</f>
        <v>#REF!</v>
      </c>
      <c r="P19" s="159" t="e">
        <f t="shared" si="6"/>
        <v>#REF!</v>
      </c>
      <c r="Q19" s="156" t="e">
        <f aca="true" t="shared" si="9" ref="Q19:Q24">O19/N19*100</f>
        <v>#REF!</v>
      </c>
      <c r="R19" s="106"/>
      <c r="S19" s="107"/>
      <c r="T19" s="145">
        <f t="shared" si="8"/>
        <v>120300</v>
      </c>
    </row>
    <row r="20" spans="1:20" s="6" customFormat="1" ht="18">
      <c r="A20" s="8"/>
      <c r="B20" s="116" t="s">
        <v>73</v>
      </c>
      <c r="C20" s="42">
        <v>18000000</v>
      </c>
      <c r="D20" s="148">
        <f>D21+D30+D32+D29</f>
        <v>401130.1</v>
      </c>
      <c r="E20" s="148">
        <f>E21+E30+E32+E29</f>
        <v>36967.5</v>
      </c>
      <c r="F20" s="221">
        <f>F21+F29+F30+F31+F32</f>
        <v>37180.29</v>
      </c>
      <c r="G20" s="148">
        <f t="shared" si="0"/>
        <v>212.79000000000087</v>
      </c>
      <c r="H20" s="155">
        <f t="shared" si="3"/>
        <v>100.57561371474944</v>
      </c>
      <c r="I20" s="156">
        <f t="shared" si="4"/>
        <v>-363949.81</v>
      </c>
      <c r="J20" s="156">
        <f t="shared" si="5"/>
        <v>9.268885581012245</v>
      </c>
      <c r="K20" s="156">
        <v>24797.05</v>
      </c>
      <c r="L20" s="159">
        <f t="shared" si="1"/>
        <v>12383.240000000002</v>
      </c>
      <c r="M20" s="207">
        <f t="shared" si="2"/>
        <v>1.4993835960325927</v>
      </c>
      <c r="N20" s="155" t="e">
        <f>N21+N30+N31+N32</f>
        <v>#REF!</v>
      </c>
      <c r="O20" s="158" t="e">
        <f>F20-#REF!</f>
        <v>#REF!</v>
      </c>
      <c r="P20" s="159" t="e">
        <f t="shared" si="6"/>
        <v>#REF!</v>
      </c>
      <c r="Q20" s="156" t="e">
        <f t="shared" si="9"/>
        <v>#REF!</v>
      </c>
      <c r="R20" s="106"/>
      <c r="S20" s="107"/>
      <c r="T20" s="145">
        <f t="shared" si="8"/>
        <v>364162.6</v>
      </c>
    </row>
    <row r="21" spans="1:20" s="6" customFormat="1" ht="18">
      <c r="A21" s="8"/>
      <c r="B21" s="43" t="s">
        <v>81</v>
      </c>
      <c r="C21" s="113">
        <v>18010000</v>
      </c>
      <c r="D21" s="148">
        <f>D22+D25+D26</f>
        <v>206621</v>
      </c>
      <c r="E21" s="148">
        <f>E22+E25+E26</f>
        <v>16745.8</v>
      </c>
      <c r="F21" s="168">
        <f>F22+F25+F26</f>
        <v>16520.28</v>
      </c>
      <c r="G21" s="148">
        <f t="shared" si="0"/>
        <v>-225.52000000000044</v>
      </c>
      <c r="H21" s="155">
        <f t="shared" si="3"/>
        <v>98.65327425384275</v>
      </c>
      <c r="I21" s="156">
        <f t="shared" si="4"/>
        <v>-190100.72</v>
      </c>
      <c r="J21" s="156">
        <f t="shared" si="5"/>
        <v>7.995450607634267</v>
      </c>
      <c r="K21" s="156">
        <v>11899.3</v>
      </c>
      <c r="L21" s="159">
        <f t="shared" si="1"/>
        <v>4620.98</v>
      </c>
      <c r="M21" s="207">
        <f t="shared" si="2"/>
        <v>1.388340490617095</v>
      </c>
      <c r="N21" s="155" t="e">
        <f>N22+N25+N26</f>
        <v>#REF!</v>
      </c>
      <c r="O21" s="158" t="e">
        <f>F21-#REF!</f>
        <v>#REF!</v>
      </c>
      <c r="P21" s="159" t="e">
        <f t="shared" si="6"/>
        <v>#REF!</v>
      </c>
      <c r="Q21" s="156" t="e">
        <f t="shared" si="9"/>
        <v>#REF!</v>
      </c>
      <c r="R21" s="106"/>
      <c r="S21" s="107"/>
      <c r="T21" s="145">
        <f t="shared" si="8"/>
        <v>189875.2</v>
      </c>
    </row>
    <row r="22" spans="1:21" s="6" customFormat="1" ht="18">
      <c r="A22" s="8"/>
      <c r="B22" s="49" t="s">
        <v>74</v>
      </c>
      <c r="C22" s="122"/>
      <c r="D22" s="169">
        <v>22809</v>
      </c>
      <c r="E22" s="169">
        <v>4150</v>
      </c>
      <c r="F22" s="170">
        <v>3819.61</v>
      </c>
      <c r="G22" s="169">
        <f t="shared" si="0"/>
        <v>-330.3899999999999</v>
      </c>
      <c r="H22" s="171">
        <f t="shared" si="3"/>
        <v>92.0387951807229</v>
      </c>
      <c r="I22" s="172">
        <f t="shared" si="4"/>
        <v>-18989.39</v>
      </c>
      <c r="J22" s="172">
        <f t="shared" si="5"/>
        <v>16.746065149721602</v>
      </c>
      <c r="K22" s="173">
        <v>3049.6</v>
      </c>
      <c r="L22" s="164">
        <f t="shared" si="1"/>
        <v>770.0100000000002</v>
      </c>
      <c r="M22" s="213">
        <f t="shared" si="2"/>
        <v>1.252495409233998</v>
      </c>
      <c r="N22" s="171" t="e">
        <f>E22-#REF!</f>
        <v>#REF!</v>
      </c>
      <c r="O22" s="174" t="e">
        <f>F22-#REF!</f>
        <v>#REF!</v>
      </c>
      <c r="P22" s="175" t="e">
        <f t="shared" si="6"/>
        <v>#REF!</v>
      </c>
      <c r="Q22" s="172" t="e">
        <f t="shared" si="9"/>
        <v>#REF!</v>
      </c>
      <c r="R22" s="106"/>
      <c r="S22" s="107"/>
      <c r="T22" s="145">
        <f t="shared" si="8"/>
        <v>18659</v>
      </c>
      <c r="U22" s="145"/>
    </row>
    <row r="23" spans="1:21" s="6" customFormat="1" ht="18" hidden="1">
      <c r="A23" s="8"/>
      <c r="B23" s="194" t="s">
        <v>107</v>
      </c>
      <c r="C23" s="195"/>
      <c r="D23" s="196">
        <v>1822.3</v>
      </c>
      <c r="E23" s="196">
        <v>140</v>
      </c>
      <c r="F23" s="161">
        <v>120.37</v>
      </c>
      <c r="G23" s="196">
        <f t="shared" si="0"/>
        <v>-19.629999999999995</v>
      </c>
      <c r="H23" s="197">
        <f t="shared" si="3"/>
        <v>85.97857142857143</v>
      </c>
      <c r="I23" s="198">
        <f t="shared" si="4"/>
        <v>-1701.9299999999998</v>
      </c>
      <c r="J23" s="198">
        <f t="shared" si="5"/>
        <v>6.605388794380727</v>
      </c>
      <c r="K23" s="198">
        <v>128.1</v>
      </c>
      <c r="L23" s="198">
        <f t="shared" si="1"/>
        <v>-7.72999999999999</v>
      </c>
      <c r="M23" s="226">
        <f t="shared" si="2"/>
        <v>0.939656518345043</v>
      </c>
      <c r="N23" s="197" t="e">
        <f>E23-#REF!</f>
        <v>#REF!</v>
      </c>
      <c r="O23" s="197" t="e">
        <f>F23-#REF!</f>
        <v>#REF!</v>
      </c>
      <c r="P23" s="198" t="e">
        <f t="shared" si="6"/>
        <v>#REF!</v>
      </c>
      <c r="Q23" s="198" t="e">
        <f t="shared" si="9"/>
        <v>#REF!</v>
      </c>
      <c r="R23" s="106"/>
      <c r="S23" s="107"/>
      <c r="T23" s="145">
        <f t="shared" si="8"/>
        <v>1682.3</v>
      </c>
      <c r="U23" s="145"/>
    </row>
    <row r="24" spans="1:21" s="6" customFormat="1" ht="18" hidden="1">
      <c r="A24" s="8"/>
      <c r="B24" s="194" t="s">
        <v>108</v>
      </c>
      <c r="C24" s="195"/>
      <c r="D24" s="196">
        <v>20986.7</v>
      </c>
      <c r="E24" s="196">
        <v>4010</v>
      </c>
      <c r="F24" s="161">
        <v>3699.24</v>
      </c>
      <c r="G24" s="196">
        <f t="shared" si="0"/>
        <v>-310.7600000000002</v>
      </c>
      <c r="H24" s="197">
        <f t="shared" si="3"/>
        <v>92.2503740648379</v>
      </c>
      <c r="I24" s="198">
        <f t="shared" si="4"/>
        <v>-17287.46</v>
      </c>
      <c r="J24" s="198">
        <f t="shared" si="5"/>
        <v>17.62659207974574</v>
      </c>
      <c r="K24" s="198">
        <v>2921.5</v>
      </c>
      <c r="L24" s="198">
        <f t="shared" si="1"/>
        <v>777.7399999999998</v>
      </c>
      <c r="M24" s="226">
        <f t="shared" si="2"/>
        <v>1.266212562040048</v>
      </c>
      <c r="N24" s="197" t="e">
        <f>E24-#REF!</f>
        <v>#REF!</v>
      </c>
      <c r="O24" s="197" t="e">
        <f>F24-#REF!</f>
        <v>#REF!</v>
      </c>
      <c r="P24" s="198" t="e">
        <f t="shared" si="6"/>
        <v>#REF!</v>
      </c>
      <c r="Q24" s="198" t="e">
        <f t="shared" si="9"/>
        <v>#REF!</v>
      </c>
      <c r="R24" s="106"/>
      <c r="S24" s="107"/>
      <c r="T24" s="145">
        <f t="shared" si="8"/>
        <v>16976.7</v>
      </c>
      <c r="U24" s="145"/>
    </row>
    <row r="25" spans="1:20" s="6" customFormat="1" ht="18">
      <c r="A25" s="8"/>
      <c r="B25" s="49" t="s">
        <v>75</v>
      </c>
      <c r="C25" s="122"/>
      <c r="D25" s="169">
        <v>820</v>
      </c>
      <c r="E25" s="169">
        <v>45.8</v>
      </c>
      <c r="F25" s="170">
        <v>52.08</v>
      </c>
      <c r="G25" s="169">
        <f t="shared" si="0"/>
        <v>6.280000000000001</v>
      </c>
      <c r="H25" s="171">
        <f t="shared" si="3"/>
        <v>113.71179039301312</v>
      </c>
      <c r="I25" s="172">
        <f t="shared" si="4"/>
        <v>-767.92</v>
      </c>
      <c r="J25" s="172">
        <f t="shared" si="5"/>
        <v>6.351219512195122</v>
      </c>
      <c r="K25" s="172">
        <v>156.87</v>
      </c>
      <c r="L25" s="172">
        <f t="shared" si="1"/>
        <v>-104.79</v>
      </c>
      <c r="M25" s="210">
        <f t="shared" si="2"/>
        <v>0.33199464524765726</v>
      </c>
      <c r="N25" s="171" t="e">
        <f>E25-#REF!</f>
        <v>#REF!</v>
      </c>
      <c r="O25" s="174" t="e">
        <f>F25-#REF!</f>
        <v>#REF!</v>
      </c>
      <c r="P25" s="175" t="e">
        <f t="shared" si="6"/>
        <v>#REF!</v>
      </c>
      <c r="Q25" s="172"/>
      <c r="R25" s="106"/>
      <c r="S25" s="107"/>
      <c r="T25" s="145">
        <f t="shared" si="8"/>
        <v>774.2</v>
      </c>
    </row>
    <row r="26" spans="1:20" s="6" customFormat="1" ht="18">
      <c r="A26" s="8"/>
      <c r="B26" s="49" t="s">
        <v>76</v>
      </c>
      <c r="C26" s="122"/>
      <c r="D26" s="169">
        <v>182992</v>
      </c>
      <c r="E26" s="169">
        <v>12550</v>
      </c>
      <c r="F26" s="170">
        <v>12648.59</v>
      </c>
      <c r="G26" s="169">
        <f t="shared" si="0"/>
        <v>98.59000000000015</v>
      </c>
      <c r="H26" s="171">
        <f t="shared" si="3"/>
        <v>100.78557768924303</v>
      </c>
      <c r="I26" s="172">
        <f t="shared" si="4"/>
        <v>-170343.41</v>
      </c>
      <c r="J26" s="172">
        <f t="shared" si="5"/>
        <v>6.912099982512896</v>
      </c>
      <c r="K26" s="173">
        <v>8692.83</v>
      </c>
      <c r="L26" s="173">
        <f t="shared" si="1"/>
        <v>3955.76</v>
      </c>
      <c r="M26" s="209">
        <f t="shared" si="2"/>
        <v>1.455060089752129</v>
      </c>
      <c r="N26" s="171" t="e">
        <f>E26-#REF!</f>
        <v>#REF!</v>
      </c>
      <c r="O26" s="174" t="e">
        <f>F26-#REF!</f>
        <v>#REF!</v>
      </c>
      <c r="P26" s="175" t="e">
        <f t="shared" si="6"/>
        <v>#REF!</v>
      </c>
      <c r="Q26" s="172" t="e">
        <f>O26/N26*100</f>
        <v>#REF!</v>
      </c>
      <c r="R26" s="106"/>
      <c r="S26" s="107"/>
      <c r="T26" s="145">
        <f t="shared" si="8"/>
        <v>170442</v>
      </c>
    </row>
    <row r="27" spans="1:20" s="6" customFormat="1" ht="18" hidden="1">
      <c r="A27" s="8"/>
      <c r="B27" s="194" t="s">
        <v>109</v>
      </c>
      <c r="C27" s="195"/>
      <c r="D27" s="196">
        <v>57533</v>
      </c>
      <c r="E27" s="196">
        <v>3530</v>
      </c>
      <c r="F27" s="161">
        <v>3799.86</v>
      </c>
      <c r="G27" s="196">
        <f t="shared" si="0"/>
        <v>269.8600000000001</v>
      </c>
      <c r="H27" s="197">
        <f t="shared" si="3"/>
        <v>107.64475920679888</v>
      </c>
      <c r="I27" s="198">
        <f t="shared" si="4"/>
        <v>-53733.14</v>
      </c>
      <c r="J27" s="198">
        <f t="shared" si="5"/>
        <v>6.604661672431475</v>
      </c>
      <c r="K27" s="198">
        <v>2454.05</v>
      </c>
      <c r="L27" s="198">
        <f t="shared" si="1"/>
        <v>1345.81</v>
      </c>
      <c r="M27" s="226">
        <f t="shared" si="2"/>
        <v>1.5484036592571462</v>
      </c>
      <c r="N27" s="197" t="e">
        <f>E27-#REF!</f>
        <v>#REF!</v>
      </c>
      <c r="O27" s="197" t="e">
        <f>F27-#REF!</f>
        <v>#REF!</v>
      </c>
      <c r="P27" s="198" t="e">
        <f t="shared" si="6"/>
        <v>#REF!</v>
      </c>
      <c r="Q27" s="198" t="e">
        <f>O27/N27*100</f>
        <v>#REF!</v>
      </c>
      <c r="R27" s="106"/>
      <c r="S27" s="107"/>
      <c r="T27" s="145">
        <f t="shared" si="8"/>
        <v>54003</v>
      </c>
    </row>
    <row r="28" spans="1:20" s="6" customFormat="1" ht="18" hidden="1">
      <c r="A28" s="8"/>
      <c r="B28" s="194" t="s">
        <v>110</v>
      </c>
      <c r="C28" s="195"/>
      <c r="D28" s="196">
        <v>125459</v>
      </c>
      <c r="E28" s="196">
        <v>9020</v>
      </c>
      <c r="F28" s="161">
        <v>8848.73</v>
      </c>
      <c r="G28" s="196">
        <f t="shared" si="0"/>
        <v>-171.27000000000044</v>
      </c>
      <c r="H28" s="197">
        <f t="shared" si="3"/>
        <v>98.10121951219512</v>
      </c>
      <c r="I28" s="198">
        <f t="shared" si="4"/>
        <v>-116610.27</v>
      </c>
      <c r="J28" s="198">
        <f t="shared" si="5"/>
        <v>7.053085071617023</v>
      </c>
      <c r="K28" s="198">
        <v>6238.78</v>
      </c>
      <c r="L28" s="198">
        <f t="shared" si="1"/>
        <v>2609.95</v>
      </c>
      <c r="M28" s="226">
        <f t="shared" si="2"/>
        <v>1.4183430093704217</v>
      </c>
      <c r="N28" s="197" t="e">
        <f>E28-#REF!</f>
        <v>#REF!</v>
      </c>
      <c r="O28" s="197" t="e">
        <f>F28-#REF!</f>
        <v>#REF!</v>
      </c>
      <c r="P28" s="198" t="e">
        <f t="shared" si="6"/>
        <v>#REF!</v>
      </c>
      <c r="Q28" s="198" t="e">
        <f>O28/N28*100</f>
        <v>#REF!</v>
      </c>
      <c r="R28" s="106"/>
      <c r="S28" s="107"/>
      <c r="T28" s="145">
        <f t="shared" si="8"/>
        <v>116439</v>
      </c>
    </row>
    <row r="29" spans="1:20" s="6" customFormat="1" ht="18">
      <c r="A29" s="8"/>
      <c r="B29" s="223" t="s">
        <v>112</v>
      </c>
      <c r="C29" s="220">
        <v>18020000</v>
      </c>
      <c r="D29" s="160">
        <v>0</v>
      </c>
      <c r="E29" s="160">
        <v>0</v>
      </c>
      <c r="F29" s="197">
        <v>0.2</v>
      </c>
      <c r="G29" s="148">
        <f t="shared" si="0"/>
        <v>0.2</v>
      </c>
      <c r="H29" s="155"/>
      <c r="I29" s="156">
        <f t="shared" si="4"/>
        <v>0.2</v>
      </c>
      <c r="J29" s="156"/>
      <c r="K29" s="165">
        <v>0</v>
      </c>
      <c r="L29" s="156">
        <f t="shared" si="1"/>
        <v>0.2</v>
      </c>
      <c r="M29" s="208"/>
      <c r="N29" s="155" t="e">
        <f>E29-#REF!</f>
        <v>#REF!</v>
      </c>
      <c r="O29" s="158" t="e">
        <f>F29-#REF!</f>
        <v>#REF!</v>
      </c>
      <c r="P29" s="159" t="e">
        <f t="shared" si="6"/>
        <v>#REF!</v>
      </c>
      <c r="Q29" s="156"/>
      <c r="R29" s="106"/>
      <c r="S29" s="107"/>
      <c r="T29" s="145">
        <f t="shared" si="8"/>
        <v>0</v>
      </c>
    </row>
    <row r="30" spans="1:20" s="6" customFormat="1" ht="18">
      <c r="A30" s="8"/>
      <c r="B30" s="43" t="s">
        <v>82</v>
      </c>
      <c r="C30" s="113">
        <v>18030000</v>
      </c>
      <c r="D30" s="148">
        <v>115</v>
      </c>
      <c r="E30" s="148">
        <v>3</v>
      </c>
      <c r="F30" s="154">
        <v>13.06</v>
      </c>
      <c r="G30" s="148">
        <f t="shared" si="0"/>
        <v>10.06</v>
      </c>
      <c r="H30" s="155">
        <f t="shared" si="3"/>
        <v>435.33333333333337</v>
      </c>
      <c r="I30" s="156">
        <f t="shared" si="4"/>
        <v>-101.94</v>
      </c>
      <c r="J30" s="156">
        <f t="shared" si="5"/>
        <v>11.356521739130434</v>
      </c>
      <c r="K30" s="156">
        <v>2.61</v>
      </c>
      <c r="L30" s="156">
        <f t="shared" si="1"/>
        <v>10.450000000000001</v>
      </c>
      <c r="M30" s="208">
        <f>F30/K30</f>
        <v>5.0038314176245215</v>
      </c>
      <c r="N30" s="155" t="e">
        <f>E30-#REF!</f>
        <v>#REF!</v>
      </c>
      <c r="O30" s="158" t="e">
        <f>F30-#REF!</f>
        <v>#REF!</v>
      </c>
      <c r="P30" s="159" t="e">
        <f t="shared" si="6"/>
        <v>#REF!</v>
      </c>
      <c r="Q30" s="156" t="e">
        <f>O30/N30*100</f>
        <v>#REF!</v>
      </c>
      <c r="R30" s="106"/>
      <c r="S30" s="107"/>
      <c r="T30" s="145">
        <f t="shared" si="8"/>
        <v>112</v>
      </c>
    </row>
    <row r="31" spans="1:20" s="6" customFormat="1" ht="49.5" customHeight="1">
      <c r="A31" s="8"/>
      <c r="B31" s="223" t="s">
        <v>83</v>
      </c>
      <c r="C31" s="113">
        <v>18040000</v>
      </c>
      <c r="D31" s="148"/>
      <c r="E31" s="148"/>
      <c r="F31" s="154">
        <v>-2.93</v>
      </c>
      <c r="G31" s="148">
        <f t="shared" si="0"/>
        <v>-2.93</v>
      </c>
      <c r="H31" s="155"/>
      <c r="I31" s="156">
        <f t="shared" si="4"/>
        <v>-2.93</v>
      </c>
      <c r="J31" s="156"/>
      <c r="K31" s="156">
        <v>-0.35</v>
      </c>
      <c r="L31" s="156">
        <f t="shared" si="1"/>
        <v>-2.58</v>
      </c>
      <c r="M31" s="208">
        <f>F31/K31</f>
        <v>8.371428571428572</v>
      </c>
      <c r="N31" s="155" t="e">
        <f>E31-#REF!</f>
        <v>#REF!</v>
      </c>
      <c r="O31" s="158" t="e">
        <f>F31-#REF!</f>
        <v>#REF!</v>
      </c>
      <c r="P31" s="159" t="e">
        <f t="shared" si="6"/>
        <v>#REF!</v>
      </c>
      <c r="Q31" s="156"/>
      <c r="R31" s="106"/>
      <c r="S31" s="107"/>
      <c r="T31" s="145">
        <f t="shared" si="8"/>
        <v>0</v>
      </c>
    </row>
    <row r="32" spans="1:20" s="6" customFormat="1" ht="18">
      <c r="A32" s="8"/>
      <c r="B32" s="43" t="s">
        <v>84</v>
      </c>
      <c r="C32" s="113">
        <v>18050000</v>
      </c>
      <c r="D32" s="160">
        <v>194394.1</v>
      </c>
      <c r="E32" s="160">
        <f>14418.7+900+4900</f>
        <v>20218.7</v>
      </c>
      <c r="F32" s="161">
        <v>20649.68</v>
      </c>
      <c r="G32" s="160">
        <f t="shared" si="0"/>
        <v>430.97999999999956</v>
      </c>
      <c r="H32" s="162">
        <f t="shared" si="3"/>
        <v>102.13159105184803</v>
      </c>
      <c r="I32" s="163">
        <f t="shared" si="4"/>
        <v>-173744.42</v>
      </c>
      <c r="J32" s="163">
        <f t="shared" si="5"/>
        <v>10.622585767777931</v>
      </c>
      <c r="K32" s="176">
        <v>12895.5</v>
      </c>
      <c r="L32" s="176">
        <f>F32-K32</f>
        <v>7754.18</v>
      </c>
      <c r="M32" s="224">
        <f>F32/K32</f>
        <v>1.6013089837540226</v>
      </c>
      <c r="N32" s="155" t="e">
        <f>E32-#REF!</f>
        <v>#REF!</v>
      </c>
      <c r="O32" s="158" t="e">
        <f>F32-#REF!</f>
        <v>#REF!</v>
      </c>
      <c r="P32" s="165" t="e">
        <f t="shared" si="6"/>
        <v>#REF!</v>
      </c>
      <c r="Q32" s="163" t="e">
        <f>O32/N32*100</f>
        <v>#REF!</v>
      </c>
      <c r="R32" s="106"/>
      <c r="S32" s="107"/>
      <c r="T32" s="145">
        <f t="shared" si="8"/>
        <v>174175.4</v>
      </c>
    </row>
    <row r="33" spans="1:20" s="6" customFormat="1" ht="15" hidden="1">
      <c r="A33" s="8"/>
      <c r="B33" s="49" t="s">
        <v>90</v>
      </c>
      <c r="C33" s="101">
        <v>18050200</v>
      </c>
      <c r="D33" s="102">
        <v>0</v>
      </c>
      <c r="E33" s="102">
        <v>0</v>
      </c>
      <c r="F33" s="138">
        <v>0</v>
      </c>
      <c r="G33" s="102">
        <f t="shared" si="0"/>
        <v>0</v>
      </c>
      <c r="H33" s="104"/>
      <c r="I33" s="103">
        <f t="shared" si="4"/>
        <v>0</v>
      </c>
      <c r="J33" s="103"/>
      <c r="K33" s="126">
        <v>0</v>
      </c>
      <c r="L33" s="126">
        <f t="shared" si="1"/>
        <v>0</v>
      </c>
      <c r="M33" s="214" t="e">
        <f aca="true" t="shared" si="10" ref="M33:M39">F33/K33</f>
        <v>#DIV/0!</v>
      </c>
      <c r="N33" s="104" t="e">
        <f>E33-#REF!</f>
        <v>#REF!</v>
      </c>
      <c r="O33" s="142" t="e">
        <f>F33-#REF!</f>
        <v>#REF!</v>
      </c>
      <c r="P33" s="105" t="e">
        <f t="shared" si="6"/>
        <v>#REF!</v>
      </c>
      <c r="Q33" s="103"/>
      <c r="R33" s="106"/>
      <c r="S33" s="107"/>
      <c r="T33" s="145">
        <f t="shared" si="8"/>
        <v>0</v>
      </c>
    </row>
    <row r="34" spans="1:20" s="6" customFormat="1" ht="15" hidden="1">
      <c r="A34" s="8"/>
      <c r="B34" s="49" t="s">
        <v>91</v>
      </c>
      <c r="C34" s="101">
        <v>18050300</v>
      </c>
      <c r="D34" s="102">
        <v>41000</v>
      </c>
      <c r="E34" s="102">
        <f>2600+900</f>
        <v>3500</v>
      </c>
      <c r="F34" s="138">
        <v>3585.03</v>
      </c>
      <c r="G34" s="102">
        <f t="shared" si="0"/>
        <v>85.0300000000002</v>
      </c>
      <c r="H34" s="104">
        <f t="shared" si="3"/>
        <v>102.42942857142859</v>
      </c>
      <c r="I34" s="103">
        <f t="shared" si="4"/>
        <v>-37414.97</v>
      </c>
      <c r="J34" s="103">
        <f t="shared" si="5"/>
        <v>8.743975609756099</v>
      </c>
      <c r="K34" s="126">
        <v>2155.98</v>
      </c>
      <c r="L34" s="126">
        <f t="shared" si="1"/>
        <v>1429.0500000000002</v>
      </c>
      <c r="M34" s="214">
        <f t="shared" si="10"/>
        <v>1.6628308240336183</v>
      </c>
      <c r="N34" s="104" t="e">
        <f>E34-#REF!</f>
        <v>#REF!</v>
      </c>
      <c r="O34" s="142" t="e">
        <f>F34-#REF!</f>
        <v>#REF!</v>
      </c>
      <c r="P34" s="105" t="e">
        <f t="shared" si="6"/>
        <v>#REF!</v>
      </c>
      <c r="Q34" s="103" t="e">
        <f>O34/N34*100</f>
        <v>#REF!</v>
      </c>
      <c r="R34" s="106"/>
      <c r="S34" s="107"/>
      <c r="T34" s="145">
        <f t="shared" si="8"/>
        <v>37500</v>
      </c>
    </row>
    <row r="35" spans="1:20" s="6" customFormat="1" ht="15" hidden="1">
      <c r="A35" s="8"/>
      <c r="B35" s="49" t="s">
        <v>92</v>
      </c>
      <c r="C35" s="101">
        <v>18050400</v>
      </c>
      <c r="D35" s="102">
        <v>153339.1</v>
      </c>
      <c r="E35" s="102">
        <f>11800+4900</f>
        <v>16700</v>
      </c>
      <c r="F35" s="138">
        <v>17048.54</v>
      </c>
      <c r="G35" s="102">
        <f t="shared" si="0"/>
        <v>348.5400000000009</v>
      </c>
      <c r="H35" s="104">
        <f t="shared" si="3"/>
        <v>102.08706586826348</v>
      </c>
      <c r="I35" s="103">
        <f t="shared" si="4"/>
        <v>-136290.56</v>
      </c>
      <c r="J35" s="103">
        <f t="shared" si="5"/>
        <v>11.118194902669964</v>
      </c>
      <c r="K35" s="126">
        <v>10736.34</v>
      </c>
      <c r="L35" s="126">
        <f t="shared" si="1"/>
        <v>6312.200000000001</v>
      </c>
      <c r="M35" s="214">
        <f t="shared" si="10"/>
        <v>1.5879284746943558</v>
      </c>
      <c r="N35" s="104" t="e">
        <f>E35-#REF!</f>
        <v>#REF!</v>
      </c>
      <c r="O35" s="142" t="e">
        <f>F35-#REF!</f>
        <v>#REF!</v>
      </c>
      <c r="P35" s="105" t="e">
        <f t="shared" si="6"/>
        <v>#REF!</v>
      </c>
      <c r="Q35" s="103" t="e">
        <f>O35/N35*100</f>
        <v>#REF!</v>
      </c>
      <c r="R35" s="106"/>
      <c r="S35" s="107"/>
      <c r="T35" s="145">
        <f t="shared" si="8"/>
        <v>136639.1</v>
      </c>
    </row>
    <row r="36" spans="1:20" s="6" customFormat="1" ht="15" hidden="1">
      <c r="A36" s="8"/>
      <c r="B36" s="49" t="s">
        <v>93</v>
      </c>
      <c r="C36" s="101">
        <v>18050500</v>
      </c>
      <c r="D36" s="102">
        <v>55</v>
      </c>
      <c r="E36" s="102">
        <v>18.7</v>
      </c>
      <c r="F36" s="138">
        <v>16.11</v>
      </c>
      <c r="G36" s="102">
        <f t="shared" si="0"/>
        <v>-2.59</v>
      </c>
      <c r="H36" s="104">
        <f t="shared" si="3"/>
        <v>86.14973262032085</v>
      </c>
      <c r="I36" s="103">
        <f t="shared" si="4"/>
        <v>-38.89</v>
      </c>
      <c r="J36" s="103">
        <f t="shared" si="5"/>
        <v>29.29090909090909</v>
      </c>
      <c r="K36" s="126">
        <v>3.19</v>
      </c>
      <c r="L36" s="126">
        <f t="shared" si="1"/>
        <v>12.92</v>
      </c>
      <c r="M36" s="214">
        <f t="shared" si="10"/>
        <v>5.0501567398119125</v>
      </c>
      <c r="N36" s="104" t="e">
        <f>E36-#REF!</f>
        <v>#REF!</v>
      </c>
      <c r="O36" s="142" t="e">
        <f>F36-#REF!</f>
        <v>#REF!</v>
      </c>
      <c r="P36" s="105" t="e">
        <f t="shared" si="6"/>
        <v>#REF!</v>
      </c>
      <c r="Q36" s="103"/>
      <c r="R36" s="106"/>
      <c r="S36" s="107"/>
      <c r="T36" s="145">
        <f t="shared" si="8"/>
        <v>36.3</v>
      </c>
    </row>
    <row r="37" spans="1:20" s="6" customFormat="1" ht="15" customHeight="1" hidden="1">
      <c r="A37" s="8"/>
      <c r="B37" s="229" t="s">
        <v>46</v>
      </c>
      <c r="C37" s="42">
        <v>19010000</v>
      </c>
      <c r="D37" s="33">
        <v>0</v>
      </c>
      <c r="E37" s="33">
        <v>0</v>
      </c>
      <c r="F37" s="33">
        <v>0</v>
      </c>
      <c r="G37" s="33">
        <f t="shared" si="0"/>
        <v>0</v>
      </c>
      <c r="H37" s="29"/>
      <c r="I37" s="36">
        <f t="shared" si="4"/>
        <v>0</v>
      </c>
      <c r="J37" s="36"/>
      <c r="K37" s="118">
        <v>9.9</v>
      </c>
      <c r="L37" s="118">
        <f t="shared" si="1"/>
        <v>-9.9</v>
      </c>
      <c r="M37" s="215">
        <f t="shared" si="10"/>
        <v>0</v>
      </c>
      <c r="N37" s="135" t="e">
        <f>E37-#REF!</f>
        <v>#REF!</v>
      </c>
      <c r="O37" s="143" t="e">
        <f>F37-#REF!</f>
        <v>#REF!</v>
      </c>
      <c r="P37" s="35" t="e">
        <f t="shared" si="6"/>
        <v>#REF!</v>
      </c>
      <c r="Q37" s="36"/>
      <c r="R37" s="106"/>
      <c r="S37" s="107"/>
      <c r="T37" s="145">
        <f t="shared" si="8"/>
        <v>0</v>
      </c>
    </row>
    <row r="38" spans="1:20" s="6" customFormat="1" ht="17.25">
      <c r="A38" s="7"/>
      <c r="B38" s="16" t="s">
        <v>12</v>
      </c>
      <c r="C38" s="69">
        <v>20000000</v>
      </c>
      <c r="D38" s="149">
        <f>D39+D40+D41+D42+D43+D45+D47+D48+D49+D50+D51+D56+D57+D61+D44</f>
        <v>59025</v>
      </c>
      <c r="E38" s="149">
        <f>E39+E40+E41+E42+E43+E45+E47+E48+E49+E50+E51+E56+E57+E61+E44</f>
        <v>2987.8</v>
      </c>
      <c r="F38" s="149">
        <f>F39+F40+F41+F42+F43+F45+F47+F48+F49+F50+F51+F56+F57+F61+F44</f>
        <v>4227.7300000000005</v>
      </c>
      <c r="G38" s="149">
        <f>G39+G40+G41+G42+G43+G45+G47+G48+G49+G50+G51+G56+G57+G61</f>
        <v>1246.73</v>
      </c>
      <c r="H38" s="150">
        <f>F38/E38*100</f>
        <v>141.4997657139032</v>
      </c>
      <c r="I38" s="151">
        <f>F38-D38</f>
        <v>-54797.27</v>
      </c>
      <c r="J38" s="151">
        <f>F38/D38*100</f>
        <v>7.162609063955952</v>
      </c>
      <c r="K38" s="149">
        <v>2030.96</v>
      </c>
      <c r="L38" s="149">
        <f t="shared" si="1"/>
        <v>2196.7700000000004</v>
      </c>
      <c r="M38" s="203">
        <f t="shared" si="10"/>
        <v>2.08164119431205</v>
      </c>
      <c r="N38" s="149" t="e">
        <f>N39+N40+N41+N42+N43+N45+N47+N48+N49+N50+N51+N56+N57+N61+N44</f>
        <v>#REF!</v>
      </c>
      <c r="O38" s="149" t="e">
        <f>O39+O40+O41+O42+O43+O45+O47+O48+O49+O50+O51+O56+O57+O61+O44</f>
        <v>#REF!</v>
      </c>
      <c r="P38" s="149" t="e">
        <f>P39+P40+P41+P42+P43+P45+P47+P48+P49+P50+P51+P56+P57+P61</f>
        <v>#REF!</v>
      </c>
      <c r="Q38" s="149" t="e">
        <f>O38/N38*100</f>
        <v>#REF!</v>
      </c>
      <c r="R38" s="15" t="e">
        <f>#N/A</f>
        <v>#N/A</v>
      </c>
      <c r="S38" s="15" t="e">
        <f>#N/A</f>
        <v>#N/A</v>
      </c>
      <c r="T38" s="145">
        <f t="shared" si="8"/>
        <v>56037.2</v>
      </c>
    </row>
    <row r="39" spans="1:20" s="6" customFormat="1" ht="46.5">
      <c r="A39" s="8"/>
      <c r="B39" s="43" t="s">
        <v>98</v>
      </c>
      <c r="C39" s="42">
        <v>21010301</v>
      </c>
      <c r="D39" s="148">
        <v>580</v>
      </c>
      <c r="E39" s="148">
        <v>0</v>
      </c>
      <c r="F39" s="154">
        <v>8.18</v>
      </c>
      <c r="G39" s="160">
        <f>F39-E39</f>
        <v>8.18</v>
      </c>
      <c r="H39" s="162"/>
      <c r="I39" s="163">
        <f>F39-D39</f>
        <v>-571.82</v>
      </c>
      <c r="J39" s="163">
        <f>F39/D39*100</f>
        <v>1.410344827586207</v>
      </c>
      <c r="K39" s="163">
        <v>4.71</v>
      </c>
      <c r="L39" s="163">
        <f t="shared" si="1"/>
        <v>3.4699999999999998</v>
      </c>
      <c r="M39" s="216">
        <f t="shared" si="10"/>
        <v>1.7367303609341826</v>
      </c>
      <c r="N39" s="162" t="e">
        <f>E39-#REF!</f>
        <v>#REF!</v>
      </c>
      <c r="O39" s="166" t="e">
        <f>F39-#REF!</f>
        <v>#REF!</v>
      </c>
      <c r="P39" s="165" t="e">
        <f>O39-N39</f>
        <v>#REF!</v>
      </c>
      <c r="Q39" s="163" t="e">
        <f aca="true" t="shared" si="11" ref="Q39:Q62">O39/N39*100</f>
        <v>#REF!</v>
      </c>
      <c r="R39" s="36"/>
      <c r="S39" s="93"/>
      <c r="T39" s="145">
        <f t="shared" si="8"/>
        <v>580</v>
      </c>
    </row>
    <row r="40" spans="1:20" s="6" customFormat="1" ht="30.75">
      <c r="A40" s="8"/>
      <c r="B40" s="128" t="s">
        <v>77</v>
      </c>
      <c r="C40" s="41">
        <v>21050000</v>
      </c>
      <c r="D40" s="148">
        <v>30000</v>
      </c>
      <c r="E40" s="148">
        <v>0</v>
      </c>
      <c r="F40" s="154">
        <v>0</v>
      </c>
      <c r="G40" s="160">
        <f aca="true" t="shared" si="12" ref="G40:G63">F40-E40</f>
        <v>0</v>
      </c>
      <c r="H40" s="162"/>
      <c r="I40" s="163">
        <f aca="true" t="shared" si="13" ref="I40:I63">F40-D40</f>
        <v>-30000</v>
      </c>
      <c r="J40" s="163">
        <f>F40/D40*100</f>
        <v>0</v>
      </c>
      <c r="K40" s="163">
        <v>0</v>
      </c>
      <c r="L40" s="163">
        <f t="shared" si="1"/>
        <v>0</v>
      </c>
      <c r="M40" s="216"/>
      <c r="N40" s="162" t="e">
        <f>E40-#REF!</f>
        <v>#REF!</v>
      </c>
      <c r="O40" s="166" t="e">
        <f>F40-#REF!</f>
        <v>#REF!</v>
      </c>
      <c r="P40" s="165" t="e">
        <f aca="true" t="shared" si="14" ref="P40:P63">O40-N40</f>
        <v>#REF!</v>
      </c>
      <c r="Q40" s="163" t="e">
        <f t="shared" si="11"/>
        <v>#REF!</v>
      </c>
      <c r="R40" s="36"/>
      <c r="S40" s="93"/>
      <c r="T40" s="145">
        <f t="shared" si="8"/>
        <v>30000</v>
      </c>
    </row>
    <row r="41" spans="1:20" s="6" customFormat="1" ht="18">
      <c r="A41" s="8"/>
      <c r="B41" s="128" t="s">
        <v>61</v>
      </c>
      <c r="C41" s="41">
        <v>21080500</v>
      </c>
      <c r="D41" s="148">
        <v>40</v>
      </c>
      <c r="E41" s="148">
        <v>10</v>
      </c>
      <c r="F41" s="154">
        <v>14.87</v>
      </c>
      <c r="G41" s="160">
        <f t="shared" si="12"/>
        <v>4.869999999999999</v>
      </c>
      <c r="H41" s="162">
        <f aca="true" t="shared" si="15" ref="H41:H62">F41/E41*100</f>
        <v>148.7</v>
      </c>
      <c r="I41" s="163">
        <f t="shared" si="13"/>
        <v>-25.130000000000003</v>
      </c>
      <c r="J41" s="163">
        <f aca="true" t="shared" si="16" ref="J41:J62">F41/D41*100</f>
        <v>37.175</v>
      </c>
      <c r="K41" s="163">
        <v>17.84</v>
      </c>
      <c r="L41" s="163">
        <f t="shared" si="1"/>
        <v>-2.9700000000000006</v>
      </c>
      <c r="M41" s="216">
        <f aca="true" t="shared" si="17" ref="M41:M63">F41/K41</f>
        <v>0.8335201793721972</v>
      </c>
      <c r="N41" s="162" t="e">
        <f>E41-#REF!</f>
        <v>#REF!</v>
      </c>
      <c r="O41" s="166" t="e">
        <f>F41-#REF!</f>
        <v>#REF!</v>
      </c>
      <c r="P41" s="165" t="e">
        <f t="shared" si="14"/>
        <v>#REF!</v>
      </c>
      <c r="Q41" s="163"/>
      <c r="R41" s="36"/>
      <c r="S41" s="93"/>
      <c r="T41" s="145">
        <f t="shared" si="8"/>
        <v>30</v>
      </c>
    </row>
    <row r="42" spans="1:20" s="6" customFormat="1" ht="31.5" hidden="1">
      <c r="A42" s="8"/>
      <c r="B42" s="230" t="s">
        <v>39</v>
      </c>
      <c r="C42" s="70">
        <v>21080900</v>
      </c>
      <c r="D42" s="148">
        <f>6.5-6.5</f>
        <v>0</v>
      </c>
      <c r="E42" s="148">
        <v>0</v>
      </c>
      <c r="F42" s="154">
        <v>0</v>
      </c>
      <c r="G42" s="160">
        <f t="shared" si="12"/>
        <v>0</v>
      </c>
      <c r="H42" s="162"/>
      <c r="I42" s="163">
        <f t="shared" si="13"/>
        <v>0</v>
      </c>
      <c r="J42" s="163"/>
      <c r="K42" s="163">
        <v>1.02</v>
      </c>
      <c r="L42" s="163">
        <f t="shared" si="1"/>
        <v>-1.02</v>
      </c>
      <c r="M42" s="216">
        <f t="shared" si="17"/>
        <v>0</v>
      </c>
      <c r="N42" s="162" t="e">
        <f>E42-#REF!</f>
        <v>#REF!</v>
      </c>
      <c r="O42" s="166" t="e">
        <f>F42-#REF!</f>
        <v>#REF!</v>
      </c>
      <c r="P42" s="165" t="e">
        <f t="shared" si="14"/>
        <v>#REF!</v>
      </c>
      <c r="Q42" s="163"/>
      <c r="R42" s="36"/>
      <c r="S42" s="93"/>
      <c r="T42" s="145">
        <f t="shared" si="8"/>
        <v>0</v>
      </c>
    </row>
    <row r="43" spans="1:20" s="6" customFormat="1" ht="18">
      <c r="A43" s="8"/>
      <c r="B43" s="129" t="s">
        <v>16</v>
      </c>
      <c r="C43" s="71">
        <v>21081100</v>
      </c>
      <c r="D43" s="148">
        <v>260</v>
      </c>
      <c r="E43" s="148">
        <v>20</v>
      </c>
      <c r="F43" s="154">
        <v>11.17</v>
      </c>
      <c r="G43" s="160">
        <f t="shared" si="12"/>
        <v>-8.83</v>
      </c>
      <c r="H43" s="162">
        <f t="shared" si="15"/>
        <v>55.85</v>
      </c>
      <c r="I43" s="163">
        <f t="shared" si="13"/>
        <v>-248.83</v>
      </c>
      <c r="J43" s="163">
        <f t="shared" si="16"/>
        <v>4.296153846153846</v>
      </c>
      <c r="K43" s="163">
        <v>-6.4</v>
      </c>
      <c r="L43" s="163">
        <f t="shared" si="1"/>
        <v>17.57</v>
      </c>
      <c r="M43" s="216">
        <f t="shared" si="17"/>
        <v>-1.7453124999999998</v>
      </c>
      <c r="N43" s="162" t="e">
        <f>E43-#REF!</f>
        <v>#REF!</v>
      </c>
      <c r="O43" s="166" t="e">
        <f>F43-#REF!</f>
        <v>#REF!</v>
      </c>
      <c r="P43" s="165" t="e">
        <f t="shared" si="14"/>
        <v>#REF!</v>
      </c>
      <c r="Q43" s="163" t="e">
        <f t="shared" si="11"/>
        <v>#REF!</v>
      </c>
      <c r="R43" s="36"/>
      <c r="S43" s="93"/>
      <c r="T43" s="145">
        <f t="shared" si="8"/>
        <v>240</v>
      </c>
    </row>
    <row r="44" spans="1:20" s="6" customFormat="1" ht="46.5">
      <c r="A44" s="8"/>
      <c r="B44" s="129" t="s">
        <v>80</v>
      </c>
      <c r="C44" s="71">
        <v>21081500</v>
      </c>
      <c r="D44" s="148">
        <v>97.5</v>
      </c>
      <c r="E44" s="148">
        <v>6.8</v>
      </c>
      <c r="F44" s="154">
        <v>0</v>
      </c>
      <c r="G44" s="160">
        <f t="shared" si="12"/>
        <v>-6.8</v>
      </c>
      <c r="H44" s="162"/>
      <c r="I44" s="163">
        <f t="shared" si="13"/>
        <v>-97.5</v>
      </c>
      <c r="J44" s="163"/>
      <c r="K44" s="163">
        <v>0</v>
      </c>
      <c r="L44" s="163">
        <f t="shared" si="1"/>
        <v>0</v>
      </c>
      <c r="M44" s="216"/>
      <c r="N44" s="162" t="e">
        <f>E44-#REF!</f>
        <v>#REF!</v>
      </c>
      <c r="O44" s="166" t="e">
        <f>F44-#REF!</f>
        <v>#REF!</v>
      </c>
      <c r="P44" s="165"/>
      <c r="Q44" s="163"/>
      <c r="R44" s="36"/>
      <c r="S44" s="93"/>
      <c r="T44" s="145">
        <f t="shared" si="8"/>
        <v>90.7</v>
      </c>
    </row>
    <row r="45" spans="1:20" s="6" customFormat="1" ht="30.75">
      <c r="A45" s="8"/>
      <c r="B45" s="146" t="s">
        <v>103</v>
      </c>
      <c r="C45" s="48">
        <v>22010300</v>
      </c>
      <c r="D45" s="148">
        <v>730</v>
      </c>
      <c r="E45" s="148">
        <v>60</v>
      </c>
      <c r="F45" s="154">
        <v>89.45</v>
      </c>
      <c r="G45" s="160">
        <f t="shared" si="12"/>
        <v>29.450000000000003</v>
      </c>
      <c r="H45" s="162">
        <f t="shared" si="15"/>
        <v>149.08333333333334</v>
      </c>
      <c r="I45" s="163">
        <f t="shared" si="13"/>
        <v>-640.55</v>
      </c>
      <c r="J45" s="163">
        <f t="shared" si="16"/>
        <v>12.253424657534246</v>
      </c>
      <c r="K45" s="163">
        <v>0</v>
      </c>
      <c r="L45" s="163">
        <f t="shared" si="1"/>
        <v>89.45</v>
      </c>
      <c r="M45" s="216"/>
      <c r="N45" s="162" t="e">
        <f>E45-#REF!</f>
        <v>#REF!</v>
      </c>
      <c r="O45" s="166" t="e">
        <f>F45-#REF!</f>
        <v>#REF!</v>
      </c>
      <c r="P45" s="165" t="e">
        <f t="shared" si="14"/>
        <v>#REF!</v>
      </c>
      <c r="Q45" s="163" t="e">
        <f t="shared" si="11"/>
        <v>#REF!</v>
      </c>
      <c r="R45" s="36"/>
      <c r="S45" s="93"/>
      <c r="T45" s="145">
        <f t="shared" si="8"/>
        <v>670</v>
      </c>
    </row>
    <row r="46" spans="1:20" s="6" customFormat="1" ht="18" hidden="1">
      <c r="A46" s="8"/>
      <c r="B46" s="129"/>
      <c r="C46" s="48"/>
      <c r="D46" s="148"/>
      <c r="E46" s="148"/>
      <c r="F46" s="154"/>
      <c r="G46" s="160"/>
      <c r="H46" s="162"/>
      <c r="I46" s="163"/>
      <c r="J46" s="163"/>
      <c r="K46" s="163"/>
      <c r="L46" s="163">
        <f t="shared" si="1"/>
        <v>0</v>
      </c>
      <c r="M46" s="216" t="e">
        <f t="shared" si="17"/>
        <v>#DIV/0!</v>
      </c>
      <c r="N46" s="162" t="e">
        <f>E46-#REF!</f>
        <v>#REF!</v>
      </c>
      <c r="O46" s="166" t="e">
        <f>F46-#REF!</f>
        <v>#REF!</v>
      </c>
      <c r="P46" s="165"/>
      <c r="Q46" s="163"/>
      <c r="R46" s="36"/>
      <c r="S46" s="93"/>
      <c r="T46" s="145">
        <f t="shared" si="8"/>
        <v>0</v>
      </c>
    </row>
    <row r="47" spans="1:20" s="6" customFormat="1" ht="18">
      <c r="A47" s="8"/>
      <c r="B47" s="32" t="s">
        <v>78</v>
      </c>
      <c r="C47" s="71">
        <v>22012500</v>
      </c>
      <c r="D47" s="148">
        <v>11000</v>
      </c>
      <c r="E47" s="148">
        <v>600</v>
      </c>
      <c r="F47" s="154">
        <v>1052.56</v>
      </c>
      <c r="G47" s="160">
        <f t="shared" si="12"/>
        <v>452.55999999999995</v>
      </c>
      <c r="H47" s="162">
        <f t="shared" si="15"/>
        <v>175.42666666666668</v>
      </c>
      <c r="I47" s="163">
        <f t="shared" si="13"/>
        <v>-9947.44</v>
      </c>
      <c r="J47" s="163">
        <f t="shared" si="16"/>
        <v>9.568727272727271</v>
      </c>
      <c r="K47" s="163">
        <v>539.02</v>
      </c>
      <c r="L47" s="163">
        <f t="shared" si="1"/>
        <v>513.54</v>
      </c>
      <c r="M47" s="216">
        <f t="shared" si="17"/>
        <v>1.9527290267522541</v>
      </c>
      <c r="N47" s="162" t="e">
        <f>E47-#REF!</f>
        <v>#REF!</v>
      </c>
      <c r="O47" s="166" t="e">
        <f>F47-#REF!</f>
        <v>#REF!</v>
      </c>
      <c r="P47" s="165" t="e">
        <f t="shared" si="14"/>
        <v>#REF!</v>
      </c>
      <c r="Q47" s="163" t="e">
        <f t="shared" si="11"/>
        <v>#REF!</v>
      </c>
      <c r="R47" s="36"/>
      <c r="S47" s="93"/>
      <c r="T47" s="145">
        <f t="shared" si="8"/>
        <v>10400</v>
      </c>
    </row>
    <row r="48" spans="1:20" s="6" customFormat="1" ht="31.5">
      <c r="A48" s="8"/>
      <c r="B48" s="147" t="s">
        <v>99</v>
      </c>
      <c r="C48" s="71">
        <v>22012600</v>
      </c>
      <c r="D48" s="148">
        <v>310</v>
      </c>
      <c r="E48" s="148">
        <v>25</v>
      </c>
      <c r="F48" s="154">
        <v>44.53</v>
      </c>
      <c r="G48" s="160">
        <f t="shared" si="12"/>
        <v>19.53</v>
      </c>
      <c r="H48" s="162">
        <f t="shared" si="15"/>
        <v>178.12</v>
      </c>
      <c r="I48" s="163">
        <f t="shared" si="13"/>
        <v>-265.47</v>
      </c>
      <c r="J48" s="163">
        <f t="shared" si="16"/>
        <v>14.364516129032259</v>
      </c>
      <c r="K48" s="163">
        <v>1.03</v>
      </c>
      <c r="L48" s="163">
        <f t="shared" si="1"/>
        <v>43.5</v>
      </c>
      <c r="M48" s="216"/>
      <c r="N48" s="162" t="e">
        <f>E48-#REF!</f>
        <v>#REF!</v>
      </c>
      <c r="O48" s="166" t="e">
        <f>F48-#REF!</f>
        <v>#REF!</v>
      </c>
      <c r="P48" s="165" t="e">
        <f t="shared" si="14"/>
        <v>#REF!</v>
      </c>
      <c r="Q48" s="163"/>
      <c r="R48" s="36"/>
      <c r="S48" s="93"/>
      <c r="T48" s="145">
        <f t="shared" si="8"/>
        <v>285</v>
      </c>
    </row>
    <row r="49" spans="1:20" s="6" customFormat="1" ht="31.5">
      <c r="A49" s="8"/>
      <c r="B49" s="147" t="s">
        <v>104</v>
      </c>
      <c r="C49" s="71">
        <v>22012900</v>
      </c>
      <c r="D49" s="148">
        <v>20</v>
      </c>
      <c r="E49" s="148">
        <v>1</v>
      </c>
      <c r="F49" s="154">
        <v>0</v>
      </c>
      <c r="G49" s="160">
        <f t="shared" si="12"/>
        <v>-1</v>
      </c>
      <c r="H49" s="162">
        <f t="shared" si="15"/>
        <v>0</v>
      </c>
      <c r="I49" s="163">
        <f t="shared" si="13"/>
        <v>-20</v>
      </c>
      <c r="J49" s="163">
        <f t="shared" si="16"/>
        <v>0</v>
      </c>
      <c r="K49" s="163">
        <v>0</v>
      </c>
      <c r="L49" s="163">
        <f t="shared" si="1"/>
        <v>0</v>
      </c>
      <c r="M49" s="216"/>
      <c r="N49" s="162" t="e">
        <f>E49-#REF!</f>
        <v>#REF!</v>
      </c>
      <c r="O49" s="166" t="e">
        <f>F49-#REF!</f>
        <v>#REF!</v>
      </c>
      <c r="P49" s="165" t="e">
        <f t="shared" si="14"/>
        <v>#REF!</v>
      </c>
      <c r="Q49" s="163" t="e">
        <f t="shared" si="11"/>
        <v>#REF!</v>
      </c>
      <c r="R49" s="36"/>
      <c r="S49" s="93"/>
      <c r="T49" s="145">
        <f t="shared" si="8"/>
        <v>19</v>
      </c>
    </row>
    <row r="50" spans="1:20" s="6" customFormat="1" ht="30.75">
      <c r="A50" s="8"/>
      <c r="B50" s="129" t="s">
        <v>14</v>
      </c>
      <c r="C50" s="48">
        <v>22080400</v>
      </c>
      <c r="D50" s="148">
        <v>7275</v>
      </c>
      <c r="E50" s="148">
        <v>600</v>
      </c>
      <c r="F50" s="154">
        <v>684.99</v>
      </c>
      <c r="G50" s="160">
        <f t="shared" si="12"/>
        <v>84.99000000000001</v>
      </c>
      <c r="H50" s="162">
        <f t="shared" si="15"/>
        <v>114.165</v>
      </c>
      <c r="I50" s="163">
        <f t="shared" si="13"/>
        <v>-6590.01</v>
      </c>
      <c r="J50" s="163">
        <f t="shared" si="16"/>
        <v>9.415670103092785</v>
      </c>
      <c r="K50" s="163">
        <v>716.23</v>
      </c>
      <c r="L50" s="163">
        <f t="shared" si="1"/>
        <v>-31.24000000000001</v>
      </c>
      <c r="M50" s="216">
        <f t="shared" si="17"/>
        <v>0.9563827262192313</v>
      </c>
      <c r="N50" s="162" t="e">
        <f>E50-#REF!</f>
        <v>#REF!</v>
      </c>
      <c r="O50" s="166" t="e">
        <f>F50-#REF!</f>
        <v>#REF!</v>
      </c>
      <c r="P50" s="165" t="e">
        <f t="shared" si="14"/>
        <v>#REF!</v>
      </c>
      <c r="Q50" s="163" t="e">
        <f t="shared" si="11"/>
        <v>#REF!</v>
      </c>
      <c r="R50" s="36"/>
      <c r="S50" s="93"/>
      <c r="T50" s="145">
        <f t="shared" si="8"/>
        <v>6675</v>
      </c>
    </row>
    <row r="51" spans="1:20" s="6" customFormat="1" ht="18">
      <c r="A51" s="8"/>
      <c r="B51" s="129" t="s">
        <v>15</v>
      </c>
      <c r="C51" s="42">
        <v>22090000</v>
      </c>
      <c r="D51" s="148">
        <v>1200</v>
      </c>
      <c r="E51" s="148">
        <v>55</v>
      </c>
      <c r="F51" s="154">
        <v>40.09</v>
      </c>
      <c r="G51" s="160">
        <f t="shared" si="12"/>
        <v>-14.909999999999997</v>
      </c>
      <c r="H51" s="162">
        <f t="shared" si="15"/>
        <v>72.89090909090909</v>
      </c>
      <c r="I51" s="163">
        <f t="shared" si="13"/>
        <v>-1159.91</v>
      </c>
      <c r="J51" s="163">
        <f t="shared" si="16"/>
        <v>3.3408333333333338</v>
      </c>
      <c r="K51" s="163">
        <v>408.2</v>
      </c>
      <c r="L51" s="163">
        <f t="shared" si="1"/>
        <v>-368.11</v>
      </c>
      <c r="M51" s="216">
        <f t="shared" si="17"/>
        <v>0.09821166095051446</v>
      </c>
      <c r="N51" s="162" t="e">
        <f>E51-#REF!</f>
        <v>#REF!</v>
      </c>
      <c r="O51" s="166" t="e">
        <f>F51-#REF!</f>
        <v>#REF!</v>
      </c>
      <c r="P51" s="165" t="e">
        <f t="shared" si="14"/>
        <v>#REF!</v>
      </c>
      <c r="Q51" s="163" t="e">
        <f t="shared" si="11"/>
        <v>#REF!</v>
      </c>
      <c r="R51" s="36"/>
      <c r="S51" s="93"/>
      <c r="T51" s="145">
        <f t="shared" si="8"/>
        <v>1145</v>
      </c>
    </row>
    <row r="52" spans="1:20" s="6" customFormat="1" ht="15" hidden="1">
      <c r="A52" s="8"/>
      <c r="B52" s="49" t="s">
        <v>97</v>
      </c>
      <c r="C52" s="122">
        <v>22090100</v>
      </c>
      <c r="D52" s="102">
        <v>998</v>
      </c>
      <c r="E52" s="102">
        <v>40</v>
      </c>
      <c r="F52" s="138">
        <v>32.81</v>
      </c>
      <c r="G52" s="33">
        <f t="shared" si="12"/>
        <v>-7.189999999999998</v>
      </c>
      <c r="H52" s="29">
        <f t="shared" si="15"/>
        <v>82.025</v>
      </c>
      <c r="I52" s="103">
        <f t="shared" si="13"/>
        <v>-965.19</v>
      </c>
      <c r="J52" s="103">
        <f t="shared" si="16"/>
        <v>3.287575150300601</v>
      </c>
      <c r="K52" s="103">
        <v>25.99</v>
      </c>
      <c r="L52" s="103">
        <f>F52-K52</f>
        <v>6.820000000000004</v>
      </c>
      <c r="M52" s="108">
        <f t="shared" si="17"/>
        <v>1.2624086186995</v>
      </c>
      <c r="N52" s="104" t="e">
        <f>E52-#REF!</f>
        <v>#REF!</v>
      </c>
      <c r="O52" s="142" t="e">
        <f>F52-#REF!</f>
        <v>#REF!</v>
      </c>
      <c r="P52" s="105" t="e">
        <f t="shared" si="14"/>
        <v>#REF!</v>
      </c>
      <c r="Q52" s="118" t="e">
        <f t="shared" si="11"/>
        <v>#REF!</v>
      </c>
      <c r="R52" s="36"/>
      <c r="S52" s="93"/>
      <c r="T52" s="145">
        <f t="shared" si="8"/>
        <v>958</v>
      </c>
    </row>
    <row r="53" spans="1:20" s="6" customFormat="1" ht="15" hidden="1">
      <c r="A53" s="8"/>
      <c r="B53" s="49" t="s">
        <v>94</v>
      </c>
      <c r="C53" s="122">
        <v>22090200</v>
      </c>
      <c r="D53" s="102">
        <v>1</v>
      </c>
      <c r="E53" s="102">
        <v>0</v>
      </c>
      <c r="F53" s="138">
        <v>0.01</v>
      </c>
      <c r="G53" s="33">
        <f t="shared" si="12"/>
        <v>0.01</v>
      </c>
      <c r="H53" s="29" t="e">
        <f t="shared" si="15"/>
        <v>#DIV/0!</v>
      </c>
      <c r="I53" s="103">
        <f t="shared" si="13"/>
        <v>-0.99</v>
      </c>
      <c r="J53" s="103">
        <f t="shared" si="16"/>
        <v>1</v>
      </c>
      <c r="K53" s="103">
        <v>0.04</v>
      </c>
      <c r="L53" s="103">
        <f>F53-K53</f>
        <v>-0.03</v>
      </c>
      <c r="M53" s="108">
        <f t="shared" si="17"/>
        <v>0.25</v>
      </c>
      <c r="N53" s="104" t="e">
        <f>E53-#REF!</f>
        <v>#REF!</v>
      </c>
      <c r="O53" s="142" t="e">
        <f>F53-#REF!</f>
        <v>#REF!</v>
      </c>
      <c r="P53" s="105" t="e">
        <f t="shared" si="14"/>
        <v>#REF!</v>
      </c>
      <c r="Q53" s="118" t="e">
        <f t="shared" si="11"/>
        <v>#REF!</v>
      </c>
      <c r="R53" s="36"/>
      <c r="S53" s="93"/>
      <c r="T53" s="145">
        <f t="shared" si="8"/>
        <v>1</v>
      </c>
    </row>
    <row r="54" spans="1:20" s="6" customFormat="1" ht="15" hidden="1">
      <c r="A54" s="8"/>
      <c r="B54" s="49" t="s">
        <v>95</v>
      </c>
      <c r="C54" s="122">
        <v>22090300</v>
      </c>
      <c r="D54" s="102">
        <v>1</v>
      </c>
      <c r="E54" s="102">
        <v>0</v>
      </c>
      <c r="F54" s="138">
        <v>0</v>
      </c>
      <c r="G54" s="33">
        <f t="shared" si="12"/>
        <v>0</v>
      </c>
      <c r="H54" s="29"/>
      <c r="I54" s="103">
        <f t="shared" si="13"/>
        <v>-1</v>
      </c>
      <c r="J54" s="103">
        <f t="shared" si="16"/>
        <v>0</v>
      </c>
      <c r="K54" s="103">
        <v>0</v>
      </c>
      <c r="L54" s="103">
        <f>F54-K54</f>
        <v>0</v>
      </c>
      <c r="M54" s="108" t="e">
        <f t="shared" si="17"/>
        <v>#DIV/0!</v>
      </c>
      <c r="N54" s="104" t="e">
        <f>E54-#REF!</f>
        <v>#REF!</v>
      </c>
      <c r="O54" s="142" t="e">
        <f>F54-#REF!</f>
        <v>#REF!</v>
      </c>
      <c r="P54" s="105" t="e">
        <f t="shared" si="14"/>
        <v>#REF!</v>
      </c>
      <c r="Q54" s="118"/>
      <c r="R54" s="36"/>
      <c r="S54" s="93"/>
      <c r="T54" s="145">
        <f t="shared" si="8"/>
        <v>1</v>
      </c>
    </row>
    <row r="55" spans="1:20" s="6" customFormat="1" ht="15" hidden="1">
      <c r="A55" s="8"/>
      <c r="B55" s="49" t="s">
        <v>96</v>
      </c>
      <c r="C55" s="122">
        <v>22090400</v>
      </c>
      <c r="D55" s="102">
        <v>200</v>
      </c>
      <c r="E55" s="102">
        <v>15</v>
      </c>
      <c r="F55" s="138">
        <v>7.27</v>
      </c>
      <c r="G55" s="33">
        <f t="shared" si="12"/>
        <v>-7.73</v>
      </c>
      <c r="H55" s="29">
        <f t="shared" si="15"/>
        <v>48.46666666666666</v>
      </c>
      <c r="I55" s="103">
        <f t="shared" si="13"/>
        <v>-192.73</v>
      </c>
      <c r="J55" s="103">
        <f t="shared" si="16"/>
        <v>3.6350000000000002</v>
      </c>
      <c r="K55" s="103">
        <v>382.17</v>
      </c>
      <c r="L55" s="103">
        <f>F55-K55</f>
        <v>-374.90000000000003</v>
      </c>
      <c r="M55" s="108">
        <f t="shared" si="17"/>
        <v>0.019022947902765784</v>
      </c>
      <c r="N55" s="104" t="e">
        <f>E55-#REF!</f>
        <v>#REF!</v>
      </c>
      <c r="O55" s="142" t="e">
        <f>F55-#REF!</f>
        <v>#REF!</v>
      </c>
      <c r="P55" s="105" t="e">
        <f t="shared" si="14"/>
        <v>#REF!</v>
      </c>
      <c r="Q55" s="118" t="e">
        <f t="shared" si="11"/>
        <v>#REF!</v>
      </c>
      <c r="R55" s="36"/>
      <c r="S55" s="93"/>
      <c r="T55" s="145">
        <f t="shared" si="8"/>
        <v>185</v>
      </c>
    </row>
    <row r="56" spans="1:20" s="6" customFormat="1" ht="46.5">
      <c r="A56" s="8"/>
      <c r="B56" s="13" t="s">
        <v>17</v>
      </c>
      <c r="C56" s="11" t="s">
        <v>18</v>
      </c>
      <c r="D56" s="148">
        <v>2.5</v>
      </c>
      <c r="E56" s="148">
        <v>0</v>
      </c>
      <c r="F56" s="154">
        <v>1.67</v>
      </c>
      <c r="G56" s="160">
        <f t="shared" si="12"/>
        <v>1.67</v>
      </c>
      <c r="H56" s="162"/>
      <c r="I56" s="163">
        <f t="shared" si="13"/>
        <v>-0.8300000000000001</v>
      </c>
      <c r="J56" s="163">
        <f t="shared" si="16"/>
        <v>66.8</v>
      </c>
      <c r="K56" s="163">
        <v>0.17</v>
      </c>
      <c r="L56" s="163">
        <f>F56-K56</f>
        <v>1.5</v>
      </c>
      <c r="M56" s="216">
        <f t="shared" si="17"/>
        <v>9.823529411764705</v>
      </c>
      <c r="N56" s="162" t="e">
        <f>E56-#REF!</f>
        <v>#REF!</v>
      </c>
      <c r="O56" s="166" t="e">
        <f>F56-#REF!</f>
        <v>#REF!</v>
      </c>
      <c r="P56" s="165" t="e">
        <f t="shared" si="14"/>
        <v>#REF!</v>
      </c>
      <c r="Q56" s="163"/>
      <c r="R56" s="36"/>
      <c r="S56" s="93"/>
      <c r="T56" s="145">
        <f t="shared" si="8"/>
        <v>2.5</v>
      </c>
    </row>
    <row r="57" spans="1:20" s="6" customFormat="1" ht="15.75" customHeight="1">
      <c r="A57" s="8"/>
      <c r="B57" s="130" t="s">
        <v>13</v>
      </c>
      <c r="C57" s="11" t="s">
        <v>19</v>
      </c>
      <c r="D57" s="148">
        <v>7350</v>
      </c>
      <c r="E57" s="148">
        <f>600+1000</f>
        <v>1600</v>
      </c>
      <c r="F57" s="154">
        <v>2247.33</v>
      </c>
      <c r="G57" s="160">
        <f t="shared" si="12"/>
        <v>647.3299999999999</v>
      </c>
      <c r="H57" s="162">
        <f t="shared" si="15"/>
        <v>140.458125</v>
      </c>
      <c r="I57" s="163">
        <f t="shared" si="13"/>
        <v>-5102.67</v>
      </c>
      <c r="J57" s="163">
        <f t="shared" si="16"/>
        <v>30.575918367346937</v>
      </c>
      <c r="K57" s="163">
        <v>317.98</v>
      </c>
      <c r="L57" s="163">
        <f aca="true" t="shared" si="18" ref="L57:L63">F57-K57</f>
        <v>1929.35</v>
      </c>
      <c r="M57" s="216">
        <f t="shared" si="17"/>
        <v>7.067519969809421</v>
      </c>
      <c r="N57" s="162" t="e">
        <f>E57-#REF!</f>
        <v>#REF!</v>
      </c>
      <c r="O57" s="166" t="e">
        <f>F57-#REF!</f>
        <v>#REF!</v>
      </c>
      <c r="P57" s="165" t="e">
        <f t="shared" si="14"/>
        <v>#REF!</v>
      </c>
      <c r="Q57" s="163" t="e">
        <f t="shared" si="11"/>
        <v>#REF!</v>
      </c>
      <c r="R57" s="36"/>
      <c r="S57" s="93"/>
      <c r="T57" s="145">
        <f t="shared" si="8"/>
        <v>5750</v>
      </c>
    </row>
    <row r="58" spans="1:20" s="6" customFormat="1" ht="18" hidden="1">
      <c r="A58" s="8"/>
      <c r="B58" s="12" t="s">
        <v>22</v>
      </c>
      <c r="C58" s="60" t="s">
        <v>23</v>
      </c>
      <c r="D58" s="30">
        <v>0</v>
      </c>
      <c r="E58" s="30">
        <v>0</v>
      </c>
      <c r="F58" s="137">
        <v>0</v>
      </c>
      <c r="G58" s="160">
        <f t="shared" si="12"/>
        <v>0</v>
      </c>
      <c r="H58" s="162" t="e">
        <f t="shared" si="15"/>
        <v>#DIV/0!</v>
      </c>
      <c r="I58" s="163">
        <f t="shared" si="13"/>
        <v>0</v>
      </c>
      <c r="J58" s="163" t="e">
        <f t="shared" si="16"/>
        <v>#DIV/0!</v>
      </c>
      <c r="K58" s="163"/>
      <c r="L58" s="163">
        <f t="shared" si="18"/>
        <v>0</v>
      </c>
      <c r="M58" s="216" t="e">
        <f t="shared" si="17"/>
        <v>#DIV/0!</v>
      </c>
      <c r="N58" s="162" t="e">
        <f>E58-#REF!</f>
        <v>#REF!</v>
      </c>
      <c r="O58" s="166" t="e">
        <f>F58-#REF!</f>
        <v>#REF!</v>
      </c>
      <c r="P58" s="165" t="e">
        <f t="shared" si="14"/>
        <v>#REF!</v>
      </c>
      <c r="Q58" s="163" t="e">
        <f t="shared" si="11"/>
        <v>#REF!</v>
      </c>
      <c r="R58" s="36"/>
      <c r="S58" s="93"/>
      <c r="T58" s="145">
        <f t="shared" si="8"/>
        <v>0</v>
      </c>
    </row>
    <row r="59" spans="1:20" s="6" customFormat="1" ht="30.75">
      <c r="A59" s="8"/>
      <c r="B59" s="49" t="s">
        <v>42</v>
      </c>
      <c r="C59" s="60"/>
      <c r="D59" s="102"/>
      <c r="E59" s="102"/>
      <c r="F59" s="199">
        <v>167.21</v>
      </c>
      <c r="G59" s="160"/>
      <c r="H59" s="162"/>
      <c r="I59" s="163"/>
      <c r="J59" s="163"/>
      <c r="K59" s="164">
        <v>70.16</v>
      </c>
      <c r="L59" s="163">
        <f t="shared" si="18"/>
        <v>97.05000000000001</v>
      </c>
      <c r="M59" s="216">
        <f t="shared" si="17"/>
        <v>2.3832668187001143</v>
      </c>
      <c r="N59" s="162"/>
      <c r="O59" s="177" t="e">
        <f>F59-#REF!</f>
        <v>#REF!</v>
      </c>
      <c r="P59" s="164"/>
      <c r="Q59" s="163"/>
      <c r="R59" s="36"/>
      <c r="S59" s="93"/>
      <c r="T59" s="145">
        <f t="shared" si="8"/>
        <v>0</v>
      </c>
    </row>
    <row r="60" spans="1:20" s="6" customFormat="1" ht="18" hidden="1">
      <c r="A60" s="8"/>
      <c r="B60" s="130" t="s">
        <v>20</v>
      </c>
      <c r="C60" s="127" t="s">
        <v>21</v>
      </c>
      <c r="D60" s="33">
        <v>0</v>
      </c>
      <c r="E60" s="33">
        <v>0</v>
      </c>
      <c r="F60" s="139">
        <v>0</v>
      </c>
      <c r="G60" s="160">
        <f t="shared" si="12"/>
        <v>0</v>
      </c>
      <c r="H60" s="162"/>
      <c r="I60" s="163">
        <f t="shared" si="13"/>
        <v>0</v>
      </c>
      <c r="J60" s="163"/>
      <c r="K60" s="164"/>
      <c r="L60" s="163">
        <f t="shared" si="18"/>
        <v>0</v>
      </c>
      <c r="M60" s="216" t="e">
        <f t="shared" si="17"/>
        <v>#DIV/0!</v>
      </c>
      <c r="N60" s="162" t="e">
        <f>E60-#REF!</f>
        <v>#REF!</v>
      </c>
      <c r="O60" s="166" t="e">
        <f>F60-#REF!</f>
        <v>#REF!</v>
      </c>
      <c r="P60" s="165" t="e">
        <f t="shared" si="14"/>
        <v>#REF!</v>
      </c>
      <c r="Q60" s="163"/>
      <c r="R60" s="36"/>
      <c r="S60" s="93"/>
      <c r="T60" s="145">
        <f t="shared" si="8"/>
        <v>0</v>
      </c>
    </row>
    <row r="61" spans="1:20" s="6" customFormat="1" ht="44.25" customHeight="1">
      <c r="A61" s="8"/>
      <c r="B61" s="130" t="s">
        <v>43</v>
      </c>
      <c r="C61" s="42">
        <v>24061900</v>
      </c>
      <c r="D61" s="148">
        <v>160</v>
      </c>
      <c r="E61" s="148">
        <v>10</v>
      </c>
      <c r="F61" s="154">
        <v>32.89</v>
      </c>
      <c r="G61" s="160">
        <f t="shared" si="12"/>
        <v>22.89</v>
      </c>
      <c r="H61" s="162">
        <f t="shared" si="15"/>
        <v>328.90000000000003</v>
      </c>
      <c r="I61" s="163">
        <f t="shared" si="13"/>
        <v>-127.11</v>
      </c>
      <c r="J61" s="163">
        <f t="shared" si="16"/>
        <v>20.556250000000002</v>
      </c>
      <c r="K61" s="163">
        <v>32.19</v>
      </c>
      <c r="L61" s="163">
        <f t="shared" si="18"/>
        <v>0.7000000000000028</v>
      </c>
      <c r="M61" s="216">
        <f t="shared" si="17"/>
        <v>1.0217458838148494</v>
      </c>
      <c r="N61" s="162" t="e">
        <f>E61-#REF!</f>
        <v>#REF!</v>
      </c>
      <c r="O61" s="166" t="e">
        <f>F61-#REF!</f>
        <v>#REF!</v>
      </c>
      <c r="P61" s="165" t="e">
        <f t="shared" si="14"/>
        <v>#REF!</v>
      </c>
      <c r="Q61" s="163"/>
      <c r="R61" s="36"/>
      <c r="S61" s="93"/>
      <c r="T61" s="145">
        <f t="shared" si="8"/>
        <v>150</v>
      </c>
    </row>
    <row r="62" spans="1:20" s="6" customFormat="1" ht="18">
      <c r="A62" s="8"/>
      <c r="B62" s="12" t="s">
        <v>44</v>
      </c>
      <c r="C62" s="42">
        <v>31010200</v>
      </c>
      <c r="D62" s="148">
        <v>15</v>
      </c>
      <c r="E62" s="148">
        <v>1.2</v>
      </c>
      <c r="F62" s="154">
        <v>1.49</v>
      </c>
      <c r="G62" s="160">
        <f t="shared" si="12"/>
        <v>0.29000000000000004</v>
      </c>
      <c r="H62" s="162">
        <f t="shared" si="15"/>
        <v>124.16666666666667</v>
      </c>
      <c r="I62" s="163">
        <f t="shared" si="13"/>
        <v>-13.51</v>
      </c>
      <c r="J62" s="163">
        <f t="shared" si="16"/>
        <v>9.933333333333334</v>
      </c>
      <c r="K62" s="163">
        <v>1</v>
      </c>
      <c r="L62" s="163">
        <f t="shared" si="18"/>
        <v>0.49</v>
      </c>
      <c r="M62" s="216">
        <f t="shared" si="17"/>
        <v>1.49</v>
      </c>
      <c r="N62" s="162" t="e">
        <f>E62-#REF!</f>
        <v>#REF!</v>
      </c>
      <c r="O62" s="166" t="e">
        <f>F62-#REF!</f>
        <v>#REF!</v>
      </c>
      <c r="P62" s="165" t="e">
        <f t="shared" si="14"/>
        <v>#REF!</v>
      </c>
      <c r="Q62" s="163" t="e">
        <f t="shared" si="11"/>
        <v>#REF!</v>
      </c>
      <c r="R62" s="36"/>
      <c r="S62" s="93"/>
      <c r="T62" s="145">
        <f t="shared" si="8"/>
        <v>13.8</v>
      </c>
    </row>
    <row r="63" spans="1:20" s="6" customFormat="1" ht="30.75" hidden="1">
      <c r="A63" s="8"/>
      <c r="B63" s="231" t="s">
        <v>57</v>
      </c>
      <c r="C63" s="42">
        <v>31020000</v>
      </c>
      <c r="D63" s="148">
        <v>0</v>
      </c>
      <c r="E63" s="148">
        <v>0</v>
      </c>
      <c r="F63" s="154">
        <v>0</v>
      </c>
      <c r="G63" s="160">
        <f t="shared" si="12"/>
        <v>0</v>
      </c>
      <c r="H63" s="162"/>
      <c r="I63" s="163">
        <f t="shared" si="13"/>
        <v>0</v>
      </c>
      <c r="J63" s="163"/>
      <c r="K63" s="163">
        <v>0.54</v>
      </c>
      <c r="L63" s="163">
        <f t="shared" si="18"/>
        <v>-0.54</v>
      </c>
      <c r="M63" s="216">
        <f t="shared" si="17"/>
        <v>0</v>
      </c>
      <c r="N63" s="162" t="e">
        <f>E63-#REF!</f>
        <v>#REF!</v>
      </c>
      <c r="O63" s="166" t="e">
        <f>F63-#REF!</f>
        <v>#REF!</v>
      </c>
      <c r="P63" s="165" t="e">
        <f t="shared" si="14"/>
        <v>#REF!</v>
      </c>
      <c r="Q63" s="163"/>
      <c r="R63" s="36"/>
      <c r="S63" s="93"/>
      <c r="T63" s="145">
        <f t="shared" si="8"/>
        <v>0</v>
      </c>
    </row>
    <row r="64" spans="1:21" s="6" customFormat="1" ht="18">
      <c r="A64" s="9"/>
      <c r="B64" s="14" t="s">
        <v>28</v>
      </c>
      <c r="C64" s="61"/>
      <c r="D64" s="149">
        <f>D8+D38+D62+D63</f>
        <v>1357491.1</v>
      </c>
      <c r="E64" s="149">
        <f>E8+E38+E62+E63</f>
        <v>97356.5</v>
      </c>
      <c r="F64" s="149">
        <f>F8+F38+F62+F63</f>
        <v>98086.19</v>
      </c>
      <c r="G64" s="149">
        <f>F64-E64</f>
        <v>729.6900000000023</v>
      </c>
      <c r="H64" s="150">
        <f>F64/E64*100</f>
        <v>100.7495031148408</v>
      </c>
      <c r="I64" s="151">
        <f>F64-D64</f>
        <v>-1259404.9100000001</v>
      </c>
      <c r="J64" s="151">
        <f>F64/D64*100</f>
        <v>7.225549397708758</v>
      </c>
      <c r="K64" s="151">
        <v>62612.59</v>
      </c>
      <c r="L64" s="151">
        <f>F64-K64</f>
        <v>35473.600000000006</v>
      </c>
      <c r="M64" s="217">
        <f>F64/K64</f>
        <v>1.5665569815910827</v>
      </c>
      <c r="N64" s="149" t="e">
        <f>N8+N38+N62+N63</f>
        <v>#REF!</v>
      </c>
      <c r="O64" s="149" t="e">
        <f>O8+O38+O62+O63</f>
        <v>#REF!</v>
      </c>
      <c r="P64" s="153" t="e">
        <f>O64-N64</f>
        <v>#REF!</v>
      </c>
      <c r="Q64" s="151" t="e">
        <f>O64/N64*100</f>
        <v>#REF!</v>
      </c>
      <c r="R64" s="26" t="e">
        <f>O64-34768</f>
        <v>#REF!</v>
      </c>
      <c r="S64" s="114" t="e">
        <f>O64/34768</f>
        <v>#REF!</v>
      </c>
      <c r="T64" s="145">
        <f t="shared" si="8"/>
        <v>1260134.6</v>
      </c>
      <c r="U64" s="131"/>
    </row>
    <row r="65" spans="1:20" s="47" customFormat="1" ht="17.25" hidden="1">
      <c r="A65" s="44"/>
      <c r="B65" s="54"/>
      <c r="C65" s="62"/>
      <c r="D65" s="45"/>
      <c r="E65" s="45"/>
      <c r="F65" s="81"/>
      <c r="G65" s="76"/>
      <c r="H65" s="46"/>
      <c r="I65" s="53"/>
      <c r="J65" s="34"/>
      <c r="K65" s="34"/>
      <c r="L65" s="34"/>
      <c r="M65" s="34"/>
      <c r="N65" s="46"/>
      <c r="O65" s="45"/>
      <c r="P65" s="78"/>
      <c r="Q65" s="34"/>
      <c r="R65" s="34"/>
      <c r="S65" s="95"/>
      <c r="T65" s="145">
        <f t="shared" si="8"/>
        <v>0</v>
      </c>
    </row>
    <row r="66" spans="1:20" s="47" customFormat="1" ht="17.25" hidden="1">
      <c r="A66" s="44"/>
      <c r="B66" s="55"/>
      <c r="C66" s="62"/>
      <c r="D66" s="56"/>
      <c r="E66" s="45"/>
      <c r="F66" s="81"/>
      <c r="G66" s="39"/>
      <c r="H66" s="46"/>
      <c r="I66" s="57"/>
      <c r="J66" s="34"/>
      <c r="K66" s="34"/>
      <c r="L66" s="34"/>
      <c r="M66" s="34"/>
      <c r="N66" s="29"/>
      <c r="O66" s="45"/>
      <c r="P66" s="58"/>
      <c r="Q66" s="34"/>
      <c r="R66" s="34"/>
      <c r="S66" s="95"/>
      <c r="T66" s="145">
        <f t="shared" si="8"/>
        <v>0</v>
      </c>
    </row>
    <row r="67" spans="1:20" s="47" customFormat="1" ht="17.25" hidden="1">
      <c r="A67" s="44"/>
      <c r="B67" s="55"/>
      <c r="C67" s="62"/>
      <c r="D67" s="56"/>
      <c r="E67" s="33"/>
      <c r="F67" s="110"/>
      <c r="G67" s="39"/>
      <c r="H67" s="46"/>
      <c r="I67" s="57"/>
      <c r="J67" s="34"/>
      <c r="K67" s="34"/>
      <c r="L67" s="34"/>
      <c r="M67" s="34"/>
      <c r="N67" s="29"/>
      <c r="O67" s="56"/>
      <c r="P67" s="78"/>
      <c r="Q67" s="34"/>
      <c r="R67" s="34"/>
      <c r="S67" s="95"/>
      <c r="T67" s="145">
        <f t="shared" si="8"/>
        <v>0</v>
      </c>
    </row>
    <row r="68" spans="2:20" ht="15">
      <c r="B68" s="22" t="s">
        <v>106</v>
      </c>
      <c r="C68" s="63"/>
      <c r="D68" s="24"/>
      <c r="E68" s="24"/>
      <c r="F68" s="140"/>
      <c r="G68" s="33"/>
      <c r="H68" s="29"/>
      <c r="I68" s="37"/>
      <c r="J68" s="37"/>
      <c r="K68" s="37"/>
      <c r="L68" s="37"/>
      <c r="M68" s="37"/>
      <c r="N68" s="30"/>
      <c r="O68" s="144"/>
      <c r="P68" s="35"/>
      <c r="Q68" s="37"/>
      <c r="R68" s="37"/>
      <c r="S68" s="96"/>
      <c r="T68" s="145">
        <f t="shared" si="8"/>
        <v>0</v>
      </c>
    </row>
    <row r="69" spans="2:20" ht="25.5" customHeight="1">
      <c r="B69" s="232" t="s">
        <v>100</v>
      </c>
      <c r="C69" s="133">
        <v>12020000</v>
      </c>
      <c r="D69" s="178">
        <v>0</v>
      </c>
      <c r="E69" s="178"/>
      <c r="F69" s="179">
        <v>0.01</v>
      </c>
      <c r="G69" s="160"/>
      <c r="H69" s="162"/>
      <c r="I69" s="165"/>
      <c r="J69" s="165"/>
      <c r="K69" s="165">
        <v>0.01</v>
      </c>
      <c r="L69" s="165">
        <f>F69-K69</f>
        <v>0</v>
      </c>
      <c r="M69" s="207">
        <f>F69/K69</f>
        <v>1</v>
      </c>
      <c r="N69" s="160"/>
      <c r="O69" s="180" t="e">
        <f>F69-#REF!</f>
        <v>#REF!</v>
      </c>
      <c r="P69" s="165"/>
      <c r="Q69" s="165"/>
      <c r="R69" s="37"/>
      <c r="S69" s="96"/>
      <c r="T69" s="145">
        <f t="shared" si="8"/>
        <v>0</v>
      </c>
    </row>
    <row r="70" spans="2:20" ht="31.5">
      <c r="B70" s="233" t="s">
        <v>62</v>
      </c>
      <c r="C70" s="72">
        <v>18041500</v>
      </c>
      <c r="D70" s="178">
        <v>0</v>
      </c>
      <c r="E70" s="178"/>
      <c r="F70" s="179">
        <v>0</v>
      </c>
      <c r="G70" s="160">
        <f>F70-E70</f>
        <v>0</v>
      </c>
      <c r="H70" s="162"/>
      <c r="I70" s="165">
        <f>F70-D70</f>
        <v>0</v>
      </c>
      <c r="J70" s="165"/>
      <c r="K70" s="165">
        <v>-55.72</v>
      </c>
      <c r="L70" s="165">
        <f>F70-K70</f>
        <v>55.72</v>
      </c>
      <c r="M70" s="207">
        <f>F70/K70</f>
        <v>0</v>
      </c>
      <c r="N70" s="162"/>
      <c r="O70" s="180" t="e">
        <f>F70-#REF!</f>
        <v>#REF!</v>
      </c>
      <c r="P70" s="165" t="e">
        <f>O70-N70</f>
        <v>#REF!</v>
      </c>
      <c r="Q70" s="165"/>
      <c r="R70" s="37"/>
      <c r="S70" s="96"/>
      <c r="T70" s="145">
        <f t="shared" si="8"/>
        <v>0</v>
      </c>
    </row>
    <row r="71" spans="2:20" ht="17.25">
      <c r="B71" s="27" t="s">
        <v>45</v>
      </c>
      <c r="C71" s="73"/>
      <c r="D71" s="181">
        <f>D70</f>
        <v>0</v>
      </c>
      <c r="E71" s="181">
        <f>E70</f>
        <v>0</v>
      </c>
      <c r="F71" s="182">
        <f>SUM(F69:F70)</f>
        <v>0.01</v>
      </c>
      <c r="G71" s="183">
        <f>F71-E71</f>
        <v>0.01</v>
      </c>
      <c r="H71" s="184"/>
      <c r="I71" s="185">
        <f>F71-D71</f>
        <v>0.01</v>
      </c>
      <c r="J71" s="185"/>
      <c r="K71" s="185">
        <v>8.48</v>
      </c>
      <c r="L71" s="185">
        <f>F71-K71</f>
        <v>-8.47</v>
      </c>
      <c r="M71" s="212">
        <f>F71/K71</f>
        <v>0.0011792452830188679</v>
      </c>
      <c r="N71" s="183">
        <f>N70</f>
        <v>0</v>
      </c>
      <c r="O71" s="186" t="e">
        <f>SUM(O69:O70)</f>
        <v>#REF!</v>
      </c>
      <c r="P71" s="185" t="e">
        <f>O71-N71</f>
        <v>#REF!</v>
      </c>
      <c r="Q71" s="185"/>
      <c r="R71" s="38"/>
      <c r="S71" s="97"/>
      <c r="T71" s="145">
        <f t="shared" si="8"/>
        <v>0</v>
      </c>
    </row>
    <row r="72" spans="2:20" ht="46.5" hidden="1">
      <c r="B72" s="23" t="s">
        <v>37</v>
      </c>
      <c r="C72" s="73">
        <v>21110000</v>
      </c>
      <c r="D72" s="178">
        <v>0</v>
      </c>
      <c r="E72" s="178"/>
      <c r="F72" s="179">
        <v>0</v>
      </c>
      <c r="G72" s="160" t="e">
        <f>#N/A</f>
        <v>#N/A</v>
      </c>
      <c r="H72" s="162" t="e">
        <f>F72/E72*100</f>
        <v>#DIV/0!</v>
      </c>
      <c r="I72" s="165" t="e">
        <f>#N/A</f>
        <v>#N/A</v>
      </c>
      <c r="J72" s="165" t="e">
        <f>#N/A</f>
        <v>#N/A</v>
      </c>
      <c r="K72" s="165"/>
      <c r="L72" s="165"/>
      <c r="M72" s="165"/>
      <c r="N72" s="160">
        <v>0</v>
      </c>
      <c r="O72" s="180">
        <f>F72</f>
        <v>0</v>
      </c>
      <c r="P72" s="165" t="e">
        <f>#N/A</f>
        <v>#N/A</v>
      </c>
      <c r="Q72" s="165"/>
      <c r="R72" s="37"/>
      <c r="S72" s="96"/>
      <c r="T72" s="145">
        <f t="shared" si="8"/>
        <v>0</v>
      </c>
    </row>
    <row r="73" spans="2:20" ht="31.5">
      <c r="B73" s="23" t="s">
        <v>29</v>
      </c>
      <c r="C73" s="72">
        <v>31030000</v>
      </c>
      <c r="D73" s="178">
        <v>4000</v>
      </c>
      <c r="E73" s="178">
        <v>0</v>
      </c>
      <c r="F73" s="179">
        <v>0.04</v>
      </c>
      <c r="G73" s="160">
        <f aca="true" t="shared" si="19" ref="G73:G84">F73-E73</f>
        <v>0.04</v>
      </c>
      <c r="H73" s="162"/>
      <c r="I73" s="165">
        <f aca="true" t="shared" si="20" ref="I73:I84">F73-D73</f>
        <v>-3999.96</v>
      </c>
      <c r="J73" s="165">
        <f>F73/D73*100</f>
        <v>0.001</v>
      </c>
      <c r="K73" s="165">
        <v>0.06</v>
      </c>
      <c r="L73" s="165">
        <f aca="true" t="shared" si="21" ref="L73:L84">F73-K73</f>
        <v>-0.019999999999999997</v>
      </c>
      <c r="M73" s="207">
        <f>F73/K73</f>
        <v>0.6666666666666667</v>
      </c>
      <c r="N73" s="162" t="e">
        <f>E73-#REF!</f>
        <v>#REF!</v>
      </c>
      <c r="O73" s="166" t="e">
        <f>F73-#REF!</f>
        <v>#REF!</v>
      </c>
      <c r="P73" s="165" t="e">
        <f aca="true" t="shared" si="22" ref="P73:P86">O73-N73</f>
        <v>#REF!</v>
      </c>
      <c r="Q73" s="165" t="e">
        <f>O73/N73*100</f>
        <v>#REF!</v>
      </c>
      <c r="R73" s="37"/>
      <c r="S73" s="96"/>
      <c r="T73" s="145">
        <f t="shared" si="8"/>
        <v>4000</v>
      </c>
    </row>
    <row r="74" spans="2:20" ht="18">
      <c r="B74" s="23" t="s">
        <v>30</v>
      </c>
      <c r="C74" s="72">
        <v>33010000</v>
      </c>
      <c r="D74" s="178">
        <v>8000</v>
      </c>
      <c r="E74" s="178">
        <v>600</v>
      </c>
      <c r="F74" s="179">
        <v>1.9</v>
      </c>
      <c r="G74" s="160">
        <f t="shared" si="19"/>
        <v>-598.1</v>
      </c>
      <c r="H74" s="162">
        <f>F74/E74*100</f>
        <v>0.31666666666666665</v>
      </c>
      <c r="I74" s="165">
        <f t="shared" si="20"/>
        <v>-7998.1</v>
      </c>
      <c r="J74" s="165">
        <f>F74/D74*100</f>
        <v>0.02375</v>
      </c>
      <c r="K74" s="165">
        <v>22.91</v>
      </c>
      <c r="L74" s="165">
        <f t="shared" si="21"/>
        <v>-21.01</v>
      </c>
      <c r="M74" s="207">
        <f>F74/K74</f>
        <v>0.08293321693583587</v>
      </c>
      <c r="N74" s="162" t="e">
        <f>E74-#REF!</f>
        <v>#REF!</v>
      </c>
      <c r="O74" s="166" t="e">
        <f>F74-#REF!</f>
        <v>#REF!</v>
      </c>
      <c r="P74" s="165" t="e">
        <f t="shared" si="22"/>
        <v>#REF!</v>
      </c>
      <c r="Q74" s="165" t="e">
        <f>O74/N74*100</f>
        <v>#REF!</v>
      </c>
      <c r="R74" s="37"/>
      <c r="S74" s="96"/>
      <c r="T74" s="145">
        <f aca="true" t="shared" si="23" ref="T74:T90">D74-E74</f>
        <v>7400</v>
      </c>
    </row>
    <row r="75" spans="2:20" ht="31.5">
      <c r="B75" s="23" t="s">
        <v>54</v>
      </c>
      <c r="C75" s="72">
        <v>24170000</v>
      </c>
      <c r="D75" s="178">
        <v>10000</v>
      </c>
      <c r="E75" s="178">
        <v>400</v>
      </c>
      <c r="F75" s="179">
        <v>90.12</v>
      </c>
      <c r="G75" s="160">
        <f t="shared" si="19"/>
        <v>-309.88</v>
      </c>
      <c r="H75" s="162">
        <f>F75/E75*100</f>
        <v>22.53</v>
      </c>
      <c r="I75" s="165">
        <f t="shared" si="20"/>
        <v>-9909.88</v>
      </c>
      <c r="J75" s="165">
        <f>F75/D75*100</f>
        <v>0.9012000000000001</v>
      </c>
      <c r="K75" s="165">
        <v>282.85</v>
      </c>
      <c r="L75" s="165">
        <f t="shared" si="21"/>
        <v>-192.73000000000002</v>
      </c>
      <c r="M75" s="207">
        <f>F75/K75</f>
        <v>0.3186141064168287</v>
      </c>
      <c r="N75" s="162" t="e">
        <f>E75-#REF!</f>
        <v>#REF!</v>
      </c>
      <c r="O75" s="166" t="e">
        <f>F75-#REF!</f>
        <v>#REF!</v>
      </c>
      <c r="P75" s="165" t="e">
        <f t="shared" si="22"/>
        <v>#REF!</v>
      </c>
      <c r="Q75" s="165" t="e">
        <f>O75/N75*100</f>
        <v>#REF!</v>
      </c>
      <c r="R75" s="37"/>
      <c r="S75" s="96"/>
      <c r="T75" s="145">
        <f t="shared" si="23"/>
        <v>9600</v>
      </c>
    </row>
    <row r="76" spans="2:20" ht="18">
      <c r="B76" s="23" t="s">
        <v>101</v>
      </c>
      <c r="C76" s="72">
        <v>24110700</v>
      </c>
      <c r="D76" s="178">
        <v>12</v>
      </c>
      <c r="E76" s="178">
        <v>1</v>
      </c>
      <c r="F76" s="179">
        <v>1</v>
      </c>
      <c r="G76" s="160">
        <f t="shared" si="19"/>
        <v>0</v>
      </c>
      <c r="H76" s="162">
        <f>F76/E76*100</f>
        <v>100</v>
      </c>
      <c r="I76" s="165">
        <f t="shared" si="20"/>
        <v>-11</v>
      </c>
      <c r="J76" s="165">
        <f>F76/D76*100</f>
        <v>8.333333333333332</v>
      </c>
      <c r="K76" s="165">
        <v>1</v>
      </c>
      <c r="L76" s="165">
        <f t="shared" si="21"/>
        <v>0</v>
      </c>
      <c r="M76" s="207"/>
      <c r="N76" s="162" t="e">
        <f>E76-#REF!</f>
        <v>#REF!</v>
      </c>
      <c r="O76" s="166" t="e">
        <f>F76-#REF!</f>
        <v>#REF!</v>
      </c>
      <c r="P76" s="165" t="e">
        <f t="shared" si="22"/>
        <v>#REF!</v>
      </c>
      <c r="Q76" s="165" t="e">
        <f>O76/N76*100</f>
        <v>#REF!</v>
      </c>
      <c r="R76" s="37"/>
      <c r="S76" s="134"/>
      <c r="T76" s="145">
        <f t="shared" si="23"/>
        <v>11</v>
      </c>
    </row>
    <row r="77" spans="2:20" ht="33">
      <c r="B77" s="27" t="s">
        <v>51</v>
      </c>
      <c r="C77" s="64"/>
      <c r="D77" s="181">
        <f>D73+D74+D75+D76</f>
        <v>22012</v>
      </c>
      <c r="E77" s="181">
        <f>E73+E74+E75+E76</f>
        <v>1001</v>
      </c>
      <c r="F77" s="182">
        <f>F73+F74+F75+F76</f>
        <v>93.06</v>
      </c>
      <c r="G77" s="183">
        <f t="shared" si="19"/>
        <v>-907.94</v>
      </c>
      <c r="H77" s="184">
        <f>F77/E77*100</f>
        <v>9.296703296703297</v>
      </c>
      <c r="I77" s="185">
        <f t="shared" si="20"/>
        <v>-21918.94</v>
      </c>
      <c r="J77" s="185">
        <f>F77/D77*100</f>
        <v>0.42276939850990375</v>
      </c>
      <c r="K77" s="185">
        <v>306.82</v>
      </c>
      <c r="L77" s="185">
        <f t="shared" si="21"/>
        <v>-213.76</v>
      </c>
      <c r="M77" s="212">
        <f>F77/K77</f>
        <v>0.3033048693044782</v>
      </c>
      <c r="N77" s="183" t="e">
        <f>N73+N74+N75+N76</f>
        <v>#REF!</v>
      </c>
      <c r="O77" s="187" t="e">
        <f>O73+O74+O75+O76</f>
        <v>#REF!</v>
      </c>
      <c r="P77" s="185" t="e">
        <f t="shared" si="22"/>
        <v>#REF!</v>
      </c>
      <c r="Q77" s="185" t="e">
        <f>O77/N77*100</f>
        <v>#REF!</v>
      </c>
      <c r="R77" s="38"/>
      <c r="S77" s="115"/>
      <c r="T77" s="145">
        <f t="shared" si="23"/>
        <v>21011</v>
      </c>
    </row>
    <row r="78" spans="2:20" ht="46.5">
      <c r="B78" s="12" t="s">
        <v>40</v>
      </c>
      <c r="C78" s="74">
        <v>24062100</v>
      </c>
      <c r="D78" s="178">
        <v>40</v>
      </c>
      <c r="E78" s="178">
        <v>0</v>
      </c>
      <c r="F78" s="179">
        <v>0.34</v>
      </c>
      <c r="G78" s="160">
        <f t="shared" si="19"/>
        <v>0.34</v>
      </c>
      <c r="H78" s="162"/>
      <c r="I78" s="165">
        <f t="shared" si="20"/>
        <v>-39.66</v>
      </c>
      <c r="J78" s="165"/>
      <c r="K78" s="165">
        <v>0</v>
      </c>
      <c r="L78" s="165">
        <f t="shared" si="21"/>
        <v>0.34</v>
      </c>
      <c r="M78" s="207" t="e">
        <f>F78/K78</f>
        <v>#DIV/0!</v>
      </c>
      <c r="N78" s="162" t="e">
        <f>E78-#REF!</f>
        <v>#REF!</v>
      </c>
      <c r="O78" s="166" t="e">
        <f>F78-#REF!</f>
        <v>#REF!</v>
      </c>
      <c r="P78" s="165" t="e">
        <f t="shared" si="22"/>
        <v>#REF!</v>
      </c>
      <c r="Q78" s="165"/>
      <c r="R78" s="37"/>
      <c r="S78" s="96"/>
      <c r="T78" s="145">
        <f t="shared" si="23"/>
        <v>40</v>
      </c>
    </row>
    <row r="79" spans="2:20" ht="18">
      <c r="B79" s="23" t="s">
        <v>52</v>
      </c>
      <c r="C79" s="72">
        <v>24061600</v>
      </c>
      <c r="D79" s="178">
        <v>0</v>
      </c>
      <c r="E79" s="178">
        <v>0</v>
      </c>
      <c r="F79" s="179">
        <v>0</v>
      </c>
      <c r="G79" s="160">
        <f t="shared" si="19"/>
        <v>0</v>
      </c>
      <c r="H79" s="162"/>
      <c r="I79" s="165">
        <f t="shared" si="20"/>
        <v>0</v>
      </c>
      <c r="J79" s="188"/>
      <c r="K79" s="165">
        <v>0</v>
      </c>
      <c r="L79" s="165">
        <f t="shared" si="21"/>
        <v>0</v>
      </c>
      <c r="M79" s="207" t="e">
        <f>F79/K79</f>
        <v>#DIV/0!</v>
      </c>
      <c r="N79" s="162" t="e">
        <f>E79-#REF!</f>
        <v>#REF!</v>
      </c>
      <c r="O79" s="166" t="e">
        <f>F79-#REF!</f>
        <v>#REF!</v>
      </c>
      <c r="P79" s="165" t="e">
        <f t="shared" si="22"/>
        <v>#REF!</v>
      </c>
      <c r="Q79" s="188"/>
      <c r="R79" s="40"/>
      <c r="S79" s="98"/>
      <c r="T79" s="145">
        <f t="shared" si="23"/>
        <v>0</v>
      </c>
    </row>
    <row r="80" spans="2:20" ht="18">
      <c r="B80" s="23" t="s">
        <v>46</v>
      </c>
      <c r="C80" s="72">
        <v>19010000</v>
      </c>
      <c r="D80" s="178">
        <v>8360</v>
      </c>
      <c r="E80" s="178">
        <v>7.5</v>
      </c>
      <c r="F80" s="179">
        <v>11.48</v>
      </c>
      <c r="G80" s="160">
        <f t="shared" si="19"/>
        <v>3.9800000000000004</v>
      </c>
      <c r="H80" s="162">
        <f>F80/E80*100</f>
        <v>153.06666666666666</v>
      </c>
      <c r="I80" s="165">
        <f t="shared" si="20"/>
        <v>-8348.52</v>
      </c>
      <c r="J80" s="165">
        <f>F80/D80*100</f>
        <v>0.13732057416267943</v>
      </c>
      <c r="K80" s="165">
        <v>0</v>
      </c>
      <c r="L80" s="165">
        <f t="shared" si="21"/>
        <v>11.48</v>
      </c>
      <c r="M80" s="207"/>
      <c r="N80" s="162" t="e">
        <f>E80-#REF!</f>
        <v>#REF!</v>
      </c>
      <c r="O80" s="166" t="e">
        <f>F80-#REF!</f>
        <v>#REF!</v>
      </c>
      <c r="P80" s="165" t="e">
        <f>O80-N80</f>
        <v>#REF!</v>
      </c>
      <c r="Q80" s="188" t="e">
        <f>O80/N80*100</f>
        <v>#REF!</v>
      </c>
      <c r="R80" s="40"/>
      <c r="S80" s="98"/>
      <c r="T80" s="145">
        <f t="shared" si="23"/>
        <v>8352.5</v>
      </c>
    </row>
    <row r="81" spans="2:20" ht="31.5" hidden="1">
      <c r="B81" s="233" t="s">
        <v>50</v>
      </c>
      <c r="C81" s="72">
        <v>19050000</v>
      </c>
      <c r="D81" s="178">
        <v>0</v>
      </c>
      <c r="E81" s="178"/>
      <c r="F81" s="179">
        <v>0</v>
      </c>
      <c r="G81" s="160">
        <f t="shared" si="19"/>
        <v>0</v>
      </c>
      <c r="H81" s="162"/>
      <c r="I81" s="165">
        <f t="shared" si="20"/>
        <v>0</v>
      </c>
      <c r="J81" s="165"/>
      <c r="K81" s="165">
        <v>1.31</v>
      </c>
      <c r="L81" s="165">
        <f t="shared" si="21"/>
        <v>-1.31</v>
      </c>
      <c r="M81" s="207">
        <f aca="true" t="shared" si="24" ref="M81:M86">F81/K81</f>
        <v>0</v>
      </c>
      <c r="N81" s="162" t="e">
        <f>E81-#REF!</f>
        <v>#REF!</v>
      </c>
      <c r="O81" s="166" t="e">
        <f>F81-#REF!</f>
        <v>#REF!</v>
      </c>
      <c r="P81" s="165" t="e">
        <f t="shared" si="22"/>
        <v>#REF!</v>
      </c>
      <c r="Q81" s="165"/>
      <c r="R81" s="37"/>
      <c r="S81" s="96"/>
      <c r="T81" s="145">
        <f t="shared" si="23"/>
        <v>0</v>
      </c>
    </row>
    <row r="82" spans="2:20" ht="30">
      <c r="B82" s="27" t="s">
        <v>47</v>
      </c>
      <c r="C82" s="72"/>
      <c r="D82" s="181">
        <f>D78+D81+D79+D80</f>
        <v>8400</v>
      </c>
      <c r="E82" s="181">
        <f>E78+E81+E79+E80</f>
        <v>7.5</v>
      </c>
      <c r="F82" s="182">
        <f>F78+F81+F79+F80</f>
        <v>11.82</v>
      </c>
      <c r="G82" s="181">
        <f>G78+G81+G79+G80</f>
        <v>4.32</v>
      </c>
      <c r="H82" s="184">
        <f>F82/E82*100</f>
        <v>157.6</v>
      </c>
      <c r="I82" s="185">
        <f t="shared" si="20"/>
        <v>-8388.18</v>
      </c>
      <c r="J82" s="185">
        <f>F82/D82*100</f>
        <v>0.14071428571428574</v>
      </c>
      <c r="K82" s="185">
        <v>0.12</v>
      </c>
      <c r="L82" s="185">
        <f t="shared" si="21"/>
        <v>11.700000000000001</v>
      </c>
      <c r="M82" s="218">
        <f t="shared" si="24"/>
        <v>98.5</v>
      </c>
      <c r="N82" s="183" t="e">
        <f>N78+N81+N79+N80</f>
        <v>#REF!</v>
      </c>
      <c r="O82" s="187" t="e">
        <f>O78+O81+O79+O80</f>
        <v>#REF!</v>
      </c>
      <c r="P82" s="183" t="e">
        <f>P78+P81+P79+P80</f>
        <v>#REF!</v>
      </c>
      <c r="Q82" s="185" t="e">
        <f>O82/N82*100</f>
        <v>#REF!</v>
      </c>
      <c r="R82" s="38"/>
      <c r="S82" s="95"/>
      <c r="T82" s="145">
        <f t="shared" si="23"/>
        <v>8392.5</v>
      </c>
    </row>
    <row r="83" spans="2:20" ht="30.75">
      <c r="B83" s="12" t="s">
        <v>41</v>
      </c>
      <c r="C83" s="42">
        <v>24110900</v>
      </c>
      <c r="D83" s="178">
        <v>38</v>
      </c>
      <c r="E83" s="178">
        <v>2.4</v>
      </c>
      <c r="F83" s="179">
        <v>0.34</v>
      </c>
      <c r="G83" s="160">
        <f t="shared" si="19"/>
        <v>-2.06</v>
      </c>
      <c r="H83" s="162">
        <f>F83/E83*100</f>
        <v>14.16666666666667</v>
      </c>
      <c r="I83" s="165">
        <f t="shared" si="20"/>
        <v>-37.66</v>
      </c>
      <c r="J83" s="165">
        <f>F83/D83*100</f>
        <v>0.8947368421052633</v>
      </c>
      <c r="K83" s="165">
        <v>0.35</v>
      </c>
      <c r="L83" s="165">
        <f t="shared" si="21"/>
        <v>-0.009999999999999953</v>
      </c>
      <c r="M83" s="207">
        <f t="shared" si="24"/>
        <v>0.9714285714285715</v>
      </c>
      <c r="N83" s="162" t="e">
        <f>E83-#REF!</f>
        <v>#REF!</v>
      </c>
      <c r="O83" s="166" t="e">
        <f>F83-#REF!</f>
        <v>#REF!</v>
      </c>
      <c r="P83" s="165" t="e">
        <f t="shared" si="22"/>
        <v>#REF!</v>
      </c>
      <c r="Q83" s="165" t="e">
        <f>O83/N83</f>
        <v>#REF!</v>
      </c>
      <c r="R83" s="37"/>
      <c r="S83" s="96"/>
      <c r="T83" s="145">
        <f t="shared" si="23"/>
        <v>35.6</v>
      </c>
    </row>
    <row r="84" spans="2:20" ht="18">
      <c r="B84" s="121" t="s">
        <v>130</v>
      </c>
      <c r="C84" s="42">
        <v>21110000</v>
      </c>
      <c r="D84" s="178">
        <v>0</v>
      </c>
      <c r="E84" s="178">
        <v>0</v>
      </c>
      <c r="F84" s="179">
        <v>11.81</v>
      </c>
      <c r="G84" s="160">
        <f t="shared" si="19"/>
        <v>11.81</v>
      </c>
      <c r="H84" s="162"/>
      <c r="I84" s="165">
        <f t="shared" si="20"/>
        <v>11.81</v>
      </c>
      <c r="J84" s="165"/>
      <c r="K84" s="165">
        <v>0</v>
      </c>
      <c r="L84" s="165">
        <f t="shared" si="21"/>
        <v>11.81</v>
      </c>
      <c r="M84" s="165" t="e">
        <f t="shared" si="24"/>
        <v>#DIV/0!</v>
      </c>
      <c r="N84" s="162" t="e">
        <f>E84-#REF!</f>
        <v>#REF!</v>
      </c>
      <c r="O84" s="166" t="e">
        <f>F84-#REF!</f>
        <v>#REF!</v>
      </c>
      <c r="P84" s="165" t="e">
        <f t="shared" si="22"/>
        <v>#REF!</v>
      </c>
      <c r="Q84" s="165"/>
      <c r="R84" s="37"/>
      <c r="S84" s="96"/>
      <c r="T84" s="145">
        <f t="shared" si="23"/>
        <v>0</v>
      </c>
    </row>
    <row r="85" spans="2:20" ht="23.25" customHeight="1">
      <c r="B85" s="14" t="s">
        <v>31</v>
      </c>
      <c r="C85" s="65"/>
      <c r="D85" s="189">
        <f>D71+D83+D77+D82</f>
        <v>30450</v>
      </c>
      <c r="E85" s="189">
        <f>E71+E83+E77+E82</f>
        <v>1010.9</v>
      </c>
      <c r="F85" s="189">
        <f>F71+F83+F77+F82+F84</f>
        <v>117.03999999999999</v>
      </c>
      <c r="G85" s="190">
        <f>F85-E85</f>
        <v>-893.86</v>
      </c>
      <c r="H85" s="191">
        <f>F85/E85*100</f>
        <v>11.577801958650706</v>
      </c>
      <c r="I85" s="192">
        <f>F85-D85</f>
        <v>-30332.96</v>
      </c>
      <c r="J85" s="192">
        <f>F85/D85*100</f>
        <v>0.384367816091954</v>
      </c>
      <c r="K85" s="192">
        <v>315.77</v>
      </c>
      <c r="L85" s="192">
        <f>F85-K85</f>
        <v>-198.73</v>
      </c>
      <c r="M85" s="219">
        <f t="shared" si="24"/>
        <v>0.3706495233872755</v>
      </c>
      <c r="N85" s="189" t="e">
        <f>N71+N83+N77+N82</f>
        <v>#REF!</v>
      </c>
      <c r="O85" s="189" t="e">
        <f>O71+O83+O77+O82+O84</f>
        <v>#REF!</v>
      </c>
      <c r="P85" s="192" t="e">
        <f t="shared" si="22"/>
        <v>#REF!</v>
      </c>
      <c r="Q85" s="192" t="e">
        <f>O85/N85*100</f>
        <v>#REF!</v>
      </c>
      <c r="R85" s="26" t="e">
        <f>O85-8104.96</f>
        <v>#REF!</v>
      </c>
      <c r="S85" s="94" t="e">
        <f>O85/8104.96</f>
        <v>#REF!</v>
      </c>
      <c r="T85" s="145">
        <f t="shared" si="23"/>
        <v>29439.1</v>
      </c>
    </row>
    <row r="86" spans="2:20" ht="17.25">
      <c r="B86" s="21" t="s">
        <v>32</v>
      </c>
      <c r="C86" s="65"/>
      <c r="D86" s="189">
        <f>D64+D85</f>
        <v>1387941.1</v>
      </c>
      <c r="E86" s="189">
        <f>E64+E85</f>
        <v>98367.4</v>
      </c>
      <c r="F86" s="189">
        <f>F64+F85</f>
        <v>98203.23</v>
      </c>
      <c r="G86" s="190">
        <f>F86-E86</f>
        <v>-164.16999999999825</v>
      </c>
      <c r="H86" s="191">
        <f>F86/E86*100</f>
        <v>99.83310527674819</v>
      </c>
      <c r="I86" s="192">
        <f>F86-D86</f>
        <v>-1289737.87</v>
      </c>
      <c r="J86" s="192">
        <f>F86/D86*100</f>
        <v>7.075460911129442</v>
      </c>
      <c r="K86" s="192">
        <f>K64+K85</f>
        <v>62928.35999999999</v>
      </c>
      <c r="L86" s="192">
        <f>F86-K86</f>
        <v>35274.87</v>
      </c>
      <c r="M86" s="219">
        <f t="shared" si="24"/>
        <v>1.5605560036841895</v>
      </c>
      <c r="N86" s="190" t="e">
        <f>N64+N85</f>
        <v>#REF!</v>
      </c>
      <c r="O86" s="190" t="e">
        <f>O64+O85</f>
        <v>#REF!</v>
      </c>
      <c r="P86" s="192" t="e">
        <f t="shared" si="22"/>
        <v>#REF!</v>
      </c>
      <c r="Q86" s="192" t="e">
        <f>O86/N86*100</f>
        <v>#REF!</v>
      </c>
      <c r="R86" s="26" t="e">
        <f>O86-42872.96</f>
        <v>#REF!</v>
      </c>
      <c r="S86" s="94" t="e">
        <f>O86/42872.96</f>
        <v>#REF!</v>
      </c>
      <c r="T86" s="145">
        <f t="shared" si="23"/>
        <v>1289573.7000000002</v>
      </c>
    </row>
    <row r="87" spans="2:20" ht="15">
      <c r="B87" s="20" t="s">
        <v>34</v>
      </c>
      <c r="O87" s="25"/>
      <c r="T87" s="145">
        <f t="shared" si="23"/>
        <v>0</v>
      </c>
    </row>
    <row r="88" spans="2:20" ht="15">
      <c r="B88" s="4" t="s">
        <v>36</v>
      </c>
      <c r="C88" s="75">
        <v>0</v>
      </c>
      <c r="D88" s="4" t="s">
        <v>35</v>
      </c>
      <c r="O88" s="77"/>
      <c r="T88" s="145" t="e">
        <f t="shared" si="23"/>
        <v>#VALUE!</v>
      </c>
    </row>
    <row r="89" spans="2:20" ht="30.75" hidden="1">
      <c r="B89" s="51" t="s">
        <v>53</v>
      </c>
      <c r="C89" s="28" t="e">
        <f>IF(P64&lt;0,ABS(P64/C88),0)</f>
        <v>#REF!</v>
      </c>
      <c r="D89" s="4" t="s">
        <v>24</v>
      </c>
      <c r="G89" s="307"/>
      <c r="H89" s="307"/>
      <c r="I89" s="307"/>
      <c r="J89" s="307"/>
      <c r="K89" s="83"/>
      <c r="L89" s="83"/>
      <c r="M89" s="83"/>
      <c r="Q89" s="25"/>
      <c r="R89" s="25"/>
      <c r="T89" s="145" t="e">
        <f t="shared" si="23"/>
        <v>#VALUE!</v>
      </c>
    </row>
    <row r="90" spans="2:20" ht="34.5" customHeight="1">
      <c r="B90" s="52" t="s">
        <v>55</v>
      </c>
      <c r="C90" s="80">
        <v>42766</v>
      </c>
      <c r="D90" s="28">
        <v>9271.6</v>
      </c>
      <c r="G90" s="4" t="s">
        <v>58</v>
      </c>
      <c r="O90" s="308"/>
      <c r="P90" s="308"/>
      <c r="T90" s="145">
        <f t="shared" si="23"/>
        <v>9271.6</v>
      </c>
    </row>
    <row r="91" spans="3:16" ht="15">
      <c r="C91" s="80">
        <v>42765</v>
      </c>
      <c r="D91" s="28">
        <v>13760.5</v>
      </c>
      <c r="F91" s="112" t="s">
        <v>58</v>
      </c>
      <c r="G91" s="311"/>
      <c r="H91" s="311"/>
      <c r="I91" s="117"/>
      <c r="J91" s="312"/>
      <c r="K91" s="312"/>
      <c r="L91" s="312"/>
      <c r="M91" s="312"/>
      <c r="N91" s="312"/>
      <c r="O91" s="308"/>
      <c r="P91" s="308"/>
    </row>
    <row r="92" spans="3:16" ht="15.75" customHeight="1">
      <c r="C92" s="80">
        <v>42762</v>
      </c>
      <c r="D92" s="28">
        <v>8862.4</v>
      </c>
      <c r="F92" s="67"/>
      <c r="G92" s="311"/>
      <c r="H92" s="311"/>
      <c r="I92" s="117"/>
      <c r="J92" s="313"/>
      <c r="K92" s="313"/>
      <c r="L92" s="313"/>
      <c r="M92" s="313"/>
      <c r="N92" s="313"/>
      <c r="O92" s="308"/>
      <c r="P92" s="308"/>
    </row>
    <row r="93" spans="3:14" ht="15.75" customHeight="1">
      <c r="C93" s="80"/>
      <c r="F93" s="67"/>
      <c r="G93" s="320"/>
      <c r="H93" s="320"/>
      <c r="I93" s="123"/>
      <c r="J93" s="312"/>
      <c r="K93" s="312"/>
      <c r="L93" s="312"/>
      <c r="M93" s="312"/>
      <c r="N93" s="312"/>
    </row>
    <row r="94" spans="2:14" ht="18.75" customHeight="1">
      <c r="B94" s="321" t="s">
        <v>56</v>
      </c>
      <c r="C94" s="322"/>
      <c r="D94" s="132">
        <f>9505303.41/1000</f>
        <v>9505.30341</v>
      </c>
      <c r="E94" s="68"/>
      <c r="F94" s="124" t="s">
        <v>105</v>
      </c>
      <c r="G94" s="311"/>
      <c r="H94" s="311"/>
      <c r="I94" s="125"/>
      <c r="J94" s="312"/>
      <c r="K94" s="312"/>
      <c r="L94" s="312"/>
      <c r="M94" s="312"/>
      <c r="N94" s="312"/>
    </row>
    <row r="95" spans="6:13" ht="9.75" customHeight="1">
      <c r="F95" s="67"/>
      <c r="G95" s="311"/>
      <c r="H95" s="311"/>
      <c r="I95" s="67"/>
      <c r="J95" s="68"/>
      <c r="K95" s="68"/>
      <c r="L95" s="68"/>
      <c r="M95" s="68"/>
    </row>
    <row r="96" spans="2:13" ht="22.5" customHeight="1" hidden="1">
      <c r="B96" s="317" t="s">
        <v>59</v>
      </c>
      <c r="C96" s="318"/>
      <c r="D96" s="79">
        <v>0</v>
      </c>
      <c r="E96" s="50" t="s">
        <v>24</v>
      </c>
      <c r="F96" s="67"/>
      <c r="G96" s="311"/>
      <c r="H96" s="311"/>
      <c r="I96" s="67"/>
      <c r="J96" s="68"/>
      <c r="K96" s="68"/>
      <c r="L96" s="68"/>
      <c r="M96" s="68"/>
    </row>
    <row r="97" spans="4:16" ht="15" hidden="1">
      <c r="D97" s="67">
        <f>D45+D48+D49</f>
        <v>1060</v>
      </c>
      <c r="E97" s="67">
        <f>E45+E48+E49</f>
        <v>86</v>
      </c>
      <c r="F97" s="201">
        <f>F45+F48+F49</f>
        <v>133.98000000000002</v>
      </c>
      <c r="G97" s="67">
        <f>G45+G48+G49</f>
        <v>47.980000000000004</v>
      </c>
      <c r="H97" s="68"/>
      <c r="I97" s="68"/>
      <c r="N97" s="28" t="e">
        <f>N45+N48+N49</f>
        <v>#REF!</v>
      </c>
      <c r="O97" s="200" t="e">
        <f>O45+O48+O49</f>
        <v>#REF!</v>
      </c>
      <c r="P97" s="28" t="e">
        <f>P45+P48+P49</f>
        <v>#REF!</v>
      </c>
    </row>
    <row r="98" spans="4:16" ht="15" hidden="1">
      <c r="D98" s="77"/>
      <c r="I98" s="28"/>
      <c r="O98" s="319"/>
      <c r="P98" s="319"/>
    </row>
    <row r="99" spans="2:17" ht="15" hidden="1">
      <c r="B99" s="4" t="s">
        <v>116</v>
      </c>
      <c r="D99" s="28">
        <f>D9+D15+D17+D18+D19+D20+D39+D42+D56+D62+D63</f>
        <v>1299048.6</v>
      </c>
      <c r="E99" s="28">
        <f>E9+E15+E17+E18+E19+E20+E39+E42+E56+E62+E63</f>
        <v>94368.7</v>
      </c>
      <c r="F99" s="227">
        <f>F9+F15+F17+F18+F19+F20+F39+F42+F56+F62+F63</f>
        <v>93868.31</v>
      </c>
      <c r="G99" s="28">
        <f>F99-E99</f>
        <v>-500.3899999999994</v>
      </c>
      <c r="H99" s="228">
        <f>F99/E99</f>
        <v>0.9946975003364463</v>
      </c>
      <c r="I99" s="28">
        <f>F99-D99</f>
        <v>-1205180.29</v>
      </c>
      <c r="J99" s="228">
        <f>F99/D99</f>
        <v>0.07225927498016625</v>
      </c>
      <c r="N99" s="28" t="e">
        <f>N9+N15+N17+N18+N19+N20+N39+N42+N44+N56+N62+N63</f>
        <v>#REF!</v>
      </c>
      <c r="O99" s="227" t="e">
        <f>O9+O15+O17+O18+O19+O20+O39+O42+O44+O56+O62+O63</f>
        <v>#REF!</v>
      </c>
      <c r="P99" s="28" t="e">
        <f>O99-N99</f>
        <v>#REF!</v>
      </c>
      <c r="Q99" s="228" t="e">
        <f>O99/N99</f>
        <v>#REF!</v>
      </c>
    </row>
    <row r="100" spans="2:17" ht="15" hidden="1">
      <c r="B100" s="4" t="s">
        <v>117</v>
      </c>
      <c r="D100" s="28">
        <f>D40+D41+D43+D45+D47+D48+D49+D50+D51+D57+D61+D44</f>
        <v>58442.5</v>
      </c>
      <c r="E100" s="28">
        <f>E40+E41+E43+E45+E47+E48+E49+E50+E51+E57+E61+E44</f>
        <v>2987.8</v>
      </c>
      <c r="F100" s="227">
        <f>F40+F41+F43+F45+F47+F48+F49+F50+F51+F57+F61+F44</f>
        <v>4217.88</v>
      </c>
      <c r="G100" s="28">
        <f>G40+G41+G43+G45+G47+G48+G49+G50+G51+G57+G61+G44</f>
        <v>1230.08</v>
      </c>
      <c r="H100" s="228">
        <f>F100/E100</f>
        <v>1.4117009170627217</v>
      </c>
      <c r="I100" s="28">
        <f>I40+I41+I43+I45+I47+I48+I49+I50+I51+I57+I61+I44</f>
        <v>-54224.62000000001</v>
      </c>
      <c r="J100" s="228">
        <f>F100/D100</f>
        <v>0.07217145057107413</v>
      </c>
      <c r="K100" s="28">
        <f aca="true" t="shared" si="25" ref="K100:P100">K40+K41+K43+K45+K47+K48+K49+K50+K51+K57+K61+K44</f>
        <v>2026.0900000000001</v>
      </c>
      <c r="L100" s="28">
        <f t="shared" si="25"/>
        <v>2191.7899999999995</v>
      </c>
      <c r="M100" s="28">
        <f t="shared" si="25"/>
        <v>10.18479694691847</v>
      </c>
      <c r="N100" s="28" t="e">
        <f t="shared" si="25"/>
        <v>#REF!</v>
      </c>
      <c r="O100" s="227" t="e">
        <f t="shared" si="25"/>
        <v>#REF!</v>
      </c>
      <c r="P100" s="28" t="e">
        <f t="shared" si="25"/>
        <v>#REF!</v>
      </c>
      <c r="Q100" s="228" t="e">
        <f>O100/N100</f>
        <v>#REF!</v>
      </c>
    </row>
    <row r="101" spans="2:17" ht="15" hidden="1">
      <c r="B101" s="4" t="s">
        <v>118</v>
      </c>
      <c r="D101" s="28">
        <f>SUM(D99:D100)</f>
        <v>1357491.1</v>
      </c>
      <c r="E101" s="28">
        <f aca="true" t="shared" si="26" ref="E101:P101">SUM(E99:E100)</f>
        <v>97356.5</v>
      </c>
      <c r="F101" s="227">
        <f t="shared" si="26"/>
        <v>98086.19</v>
      </c>
      <c r="G101" s="28">
        <f t="shared" si="26"/>
        <v>729.6900000000005</v>
      </c>
      <c r="H101" s="228">
        <f>F101/E101</f>
        <v>1.007495031148408</v>
      </c>
      <c r="I101" s="28">
        <f t="shared" si="26"/>
        <v>-1259404.9100000001</v>
      </c>
      <c r="J101" s="228">
        <f>F101/D101</f>
        <v>0.07225549397708758</v>
      </c>
      <c r="K101" s="28">
        <f t="shared" si="26"/>
        <v>2026.0900000000001</v>
      </c>
      <c r="L101" s="28">
        <f t="shared" si="26"/>
        <v>2191.7899999999995</v>
      </c>
      <c r="M101" s="28">
        <f t="shared" si="26"/>
        <v>10.18479694691847</v>
      </c>
      <c r="N101" s="28" t="e">
        <f t="shared" si="26"/>
        <v>#REF!</v>
      </c>
      <c r="O101" s="227" t="e">
        <f t="shared" si="26"/>
        <v>#REF!</v>
      </c>
      <c r="P101" s="28" t="e">
        <f t="shared" si="26"/>
        <v>#REF!</v>
      </c>
      <c r="Q101" s="228" t="e">
        <f>O101/N101</f>
        <v>#REF!</v>
      </c>
    </row>
    <row r="102" spans="4:21" ht="15" hidden="1">
      <c r="D102" s="28">
        <f>D64-D101</f>
        <v>0</v>
      </c>
      <c r="E102" s="28">
        <f aca="true" t="shared" si="27" ref="E102:U102">E64-E101</f>
        <v>0</v>
      </c>
      <c r="F102" s="28">
        <f t="shared" si="27"/>
        <v>0</v>
      </c>
      <c r="G102" s="28">
        <f t="shared" si="27"/>
        <v>1.8189894035458565E-12</v>
      </c>
      <c r="H102" s="228"/>
      <c r="I102" s="28">
        <f t="shared" si="27"/>
        <v>0</v>
      </c>
      <c r="J102" s="228"/>
      <c r="K102" s="28">
        <f t="shared" si="27"/>
        <v>60586.5</v>
      </c>
      <c r="L102" s="28">
        <f t="shared" si="27"/>
        <v>33281.810000000005</v>
      </c>
      <c r="M102" s="28">
        <f t="shared" si="27"/>
        <v>-8.618239965327387</v>
      </c>
      <c r="N102" s="28" t="e">
        <f t="shared" si="27"/>
        <v>#REF!</v>
      </c>
      <c r="O102" s="28" t="e">
        <f t="shared" si="27"/>
        <v>#REF!</v>
      </c>
      <c r="P102" s="28" t="e">
        <f t="shared" si="27"/>
        <v>#REF!</v>
      </c>
      <c r="Q102" s="28"/>
      <c r="R102" s="28" t="e">
        <f t="shared" si="27"/>
        <v>#REF!</v>
      </c>
      <c r="S102" s="28" t="e">
        <f t="shared" si="27"/>
        <v>#REF!</v>
      </c>
      <c r="T102" s="28">
        <f t="shared" si="27"/>
        <v>1260134.6</v>
      </c>
      <c r="U102" s="28">
        <f t="shared" si="27"/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.5118110236220472" right="0.5118110236220472" top="0.1968503937007874" bottom="0.1968503937007874" header="0.31496062992125984" footer="0.31496062992125984"/>
  <pageSetup fitToHeight="1" fitToWidth="1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2017-04-24T08:39:29Z</cp:lastPrinted>
  <dcterms:created xsi:type="dcterms:W3CDTF">2003-07-28T11:27:56Z</dcterms:created>
  <dcterms:modified xsi:type="dcterms:W3CDTF">2017-04-24T08:50:19Z</dcterms:modified>
  <cp:category/>
  <cp:version/>
  <cp:contentType/>
  <cp:contentStatus/>
</cp:coreProperties>
</file>